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6015" windowWidth="19440" windowHeight="6045" tabRatio="736"/>
  </bookViews>
  <sheets>
    <sheet name="Ementas 1º período" sheetId="24" r:id="rId1"/>
    <sheet name="1FT Prato" sheetId="25" r:id="rId2"/>
    <sheet name="2 FTSopas" sheetId="16" r:id="rId3"/>
    <sheet name="3FTAcompanhamento" sheetId="17" r:id="rId4"/>
    <sheet name="4 FTsobremesas" sheetId="19" r:id="rId5"/>
    <sheet name="5 FTsaladas&amp;legumes" sheetId="18" r:id="rId6"/>
  </sheets>
  <definedNames>
    <definedName name="_xlnm._FilterDatabase" localSheetId="0" hidden="1">'Ementas 1º período'!$A$4:$M$434</definedName>
    <definedName name="_xlnm.Print_Area" localSheetId="0">'Ementas 1º período'!$A$1:$M$583</definedName>
    <definedName name="_xlnm.Print_Titles" localSheetId="0">'Ementas 1º período'!$1:$2</definedName>
  </definedNames>
  <calcPr calcId="145621"/>
</workbook>
</file>

<file path=xl/calcChain.xml><?xml version="1.0" encoding="utf-8"?>
<calcChain xmlns="http://schemas.openxmlformats.org/spreadsheetml/2006/main">
  <c r="L180" i="24"/>
  <c r="K180"/>
  <c r="J180"/>
  <c r="G180"/>
  <c r="F180"/>
  <c r="L572"/>
  <c r="K572"/>
  <c r="J572"/>
  <c r="H572"/>
  <c r="G572"/>
  <c r="F572"/>
  <c r="L565"/>
  <c r="K565"/>
  <c r="J565"/>
  <c r="H565"/>
  <c r="G565"/>
  <c r="F565"/>
  <c r="L224"/>
  <c r="K224"/>
  <c r="J224"/>
  <c r="I224"/>
  <c r="H224"/>
  <c r="G224"/>
  <c r="F224"/>
  <c r="L558"/>
  <c r="K558"/>
  <c r="J558"/>
  <c r="G558"/>
  <c r="F558"/>
  <c r="L420"/>
  <c r="K420"/>
  <c r="J420"/>
  <c r="I420"/>
  <c r="H420"/>
  <c r="G420"/>
  <c r="F420"/>
  <c r="L413"/>
  <c r="K413"/>
  <c r="J413"/>
  <c r="G413"/>
  <c r="F413"/>
  <c r="L406"/>
  <c r="K406"/>
  <c r="J406"/>
  <c r="I406"/>
  <c r="H406"/>
  <c r="G406"/>
  <c r="F406"/>
  <c r="L346"/>
  <c r="K346"/>
  <c r="J346"/>
  <c r="I346"/>
  <c r="H346"/>
  <c r="G346"/>
  <c r="F346"/>
  <c r="L324"/>
  <c r="K324"/>
  <c r="J324"/>
  <c r="G324"/>
  <c r="L296"/>
  <c r="K296"/>
  <c r="J296"/>
  <c r="G296"/>
  <c r="F296"/>
  <c r="L281"/>
  <c r="K281"/>
  <c r="J281"/>
  <c r="H281"/>
  <c r="G281"/>
  <c r="F281"/>
  <c r="L260"/>
  <c r="K260"/>
  <c r="J260"/>
  <c r="I260"/>
  <c r="H260"/>
  <c r="G260"/>
  <c r="F260"/>
  <c r="L522"/>
  <c r="K522"/>
  <c r="J522"/>
  <c r="I522"/>
  <c r="H522"/>
  <c r="G522"/>
  <c r="F522"/>
  <c r="L478"/>
  <c r="K478"/>
  <c r="J478"/>
  <c r="H478"/>
  <c r="G478"/>
  <c r="F478"/>
  <c r="L463"/>
  <c r="K463"/>
  <c r="J463"/>
  <c r="I463"/>
  <c r="H463"/>
  <c r="G463"/>
  <c r="F463"/>
  <c r="L456"/>
  <c r="K456"/>
  <c r="J456"/>
  <c r="G456"/>
  <c r="F456"/>
  <c r="L449"/>
  <c r="K449"/>
  <c r="J449"/>
  <c r="I449"/>
  <c r="H449"/>
  <c r="G449"/>
  <c r="F449"/>
  <c r="L130"/>
  <c r="K130"/>
  <c r="J130"/>
  <c r="I130"/>
  <c r="H130"/>
  <c r="G130"/>
  <c r="F130"/>
  <c r="L108"/>
  <c r="K108"/>
  <c r="J108"/>
  <c r="I108"/>
  <c r="H108"/>
  <c r="G108"/>
  <c r="F108"/>
  <c r="L80"/>
  <c r="K80"/>
  <c r="J80"/>
  <c r="I80"/>
  <c r="H80"/>
  <c r="G80"/>
  <c r="F80"/>
  <c r="L72"/>
  <c r="K72"/>
  <c r="J72"/>
  <c r="G72"/>
  <c r="L51"/>
  <c r="K51"/>
  <c r="J51"/>
  <c r="I51"/>
  <c r="H51"/>
  <c r="G51"/>
  <c r="F51"/>
  <c r="L580"/>
  <c r="K580"/>
  <c r="J580"/>
  <c r="G580"/>
  <c r="F580"/>
  <c r="L573"/>
  <c r="K573"/>
  <c r="J573"/>
  <c r="G573"/>
  <c r="F573"/>
  <c r="L566"/>
  <c r="K566"/>
  <c r="J566"/>
  <c r="H566"/>
  <c r="G566"/>
  <c r="F566"/>
  <c r="L559"/>
  <c r="K559"/>
  <c r="J559"/>
  <c r="G559"/>
  <c r="F559"/>
  <c r="L552"/>
  <c r="K552"/>
  <c r="J552"/>
  <c r="G552"/>
  <c r="F552"/>
  <c r="L537"/>
  <c r="K537"/>
  <c r="J537"/>
  <c r="G537"/>
  <c r="F537"/>
  <c r="L530"/>
  <c r="K530"/>
  <c r="J530"/>
  <c r="H530"/>
  <c r="G530"/>
  <c r="F530"/>
  <c r="L523"/>
  <c r="K523"/>
  <c r="J523"/>
  <c r="H523"/>
  <c r="G523"/>
  <c r="F523"/>
  <c r="L516"/>
  <c r="K516"/>
  <c r="J516"/>
  <c r="H516"/>
  <c r="G516"/>
  <c r="F516"/>
  <c r="L500"/>
  <c r="K500"/>
  <c r="J500"/>
  <c r="G500"/>
  <c r="F500"/>
  <c r="L493"/>
  <c r="K493"/>
  <c r="J493"/>
  <c r="G493"/>
  <c r="F493"/>
  <c r="L486"/>
  <c r="K486"/>
  <c r="J486"/>
  <c r="G486"/>
  <c r="F486"/>
  <c r="L479"/>
  <c r="K479"/>
  <c r="J479"/>
  <c r="G479"/>
  <c r="F479"/>
  <c r="L471"/>
  <c r="K471"/>
  <c r="J471"/>
  <c r="G471"/>
  <c r="F471"/>
  <c r="L464"/>
  <c r="K464"/>
  <c r="J464"/>
  <c r="G464"/>
  <c r="F464"/>
  <c r="L457"/>
  <c r="K457"/>
  <c r="J457"/>
  <c r="G457"/>
  <c r="F457"/>
  <c r="L450"/>
  <c r="K450"/>
  <c r="J450"/>
  <c r="G450"/>
  <c r="F450"/>
  <c r="L443"/>
  <c r="K443"/>
  <c r="J443"/>
  <c r="H443"/>
  <c r="G443"/>
  <c r="F443"/>
  <c r="L435"/>
  <c r="K435"/>
  <c r="J435"/>
  <c r="G435"/>
  <c r="F435"/>
  <c r="L428"/>
  <c r="K428"/>
  <c r="J428"/>
  <c r="G428"/>
  <c r="F428"/>
  <c r="L421"/>
  <c r="K421"/>
  <c r="J421"/>
  <c r="G421"/>
  <c r="F421"/>
  <c r="L414"/>
  <c r="K414"/>
  <c r="J414"/>
  <c r="G414"/>
  <c r="F414"/>
  <c r="L407"/>
  <c r="K407"/>
  <c r="J407"/>
  <c r="G407"/>
  <c r="F407"/>
  <c r="L361"/>
  <c r="K361"/>
  <c r="J361"/>
  <c r="G361"/>
  <c r="F361"/>
  <c r="L354"/>
  <c r="K354"/>
  <c r="J354"/>
  <c r="H354"/>
  <c r="G354"/>
  <c r="F354"/>
  <c r="L347"/>
  <c r="K347"/>
  <c r="J347"/>
  <c r="G347"/>
  <c r="F347"/>
  <c r="L340"/>
  <c r="K340"/>
  <c r="J340"/>
  <c r="G340"/>
  <c r="F340"/>
  <c r="L333"/>
  <c r="K333"/>
  <c r="J333"/>
  <c r="G333"/>
  <c r="F333"/>
  <c r="L325"/>
  <c r="K325"/>
  <c r="J325"/>
  <c r="G325"/>
  <c r="F325"/>
  <c r="L318"/>
  <c r="K318"/>
  <c r="J318"/>
  <c r="H318"/>
  <c r="G318"/>
  <c r="F318"/>
  <c r="L304"/>
  <c r="K304"/>
  <c r="J304"/>
  <c r="G304"/>
  <c r="F304"/>
  <c r="L297"/>
  <c r="K297"/>
  <c r="J297"/>
  <c r="H297"/>
  <c r="G297"/>
  <c r="F297"/>
  <c r="L289"/>
  <c r="K289"/>
  <c r="J289"/>
  <c r="G289"/>
  <c r="F289"/>
  <c r="L282"/>
  <c r="K282"/>
  <c r="J282"/>
  <c r="G282"/>
  <c r="F282"/>
  <c r="L275"/>
  <c r="K275"/>
  <c r="J275"/>
  <c r="H275"/>
  <c r="G275"/>
  <c r="F275"/>
  <c r="L268"/>
  <c r="K268"/>
  <c r="J268"/>
  <c r="G268"/>
  <c r="F268"/>
  <c r="L261"/>
  <c r="K261"/>
  <c r="J261"/>
  <c r="G261"/>
  <c r="F261"/>
  <c r="L253"/>
  <c r="K253"/>
  <c r="J253"/>
  <c r="H253"/>
  <c r="G253"/>
  <c r="F253"/>
  <c r="L246"/>
  <c r="K246"/>
  <c r="J246"/>
  <c r="G246"/>
  <c r="F246"/>
  <c r="L239"/>
  <c r="K239"/>
  <c r="J239"/>
  <c r="H239"/>
  <c r="G239"/>
  <c r="F239"/>
  <c r="L232"/>
  <c r="K232"/>
  <c r="J232"/>
  <c r="H232"/>
  <c r="G232"/>
  <c r="F232"/>
  <c r="L225"/>
  <c r="K225"/>
  <c r="J225"/>
  <c r="H225"/>
  <c r="G225"/>
  <c r="F225"/>
  <c r="L217"/>
  <c r="K217"/>
  <c r="J217"/>
  <c r="G217"/>
  <c r="F217"/>
  <c r="L210"/>
  <c r="K210"/>
  <c r="J210"/>
  <c r="H210"/>
  <c r="G210"/>
  <c r="F210"/>
  <c r="L203"/>
  <c r="K203"/>
  <c r="J203"/>
  <c r="G203"/>
  <c r="F203"/>
  <c r="L196"/>
  <c r="K196"/>
  <c r="J196"/>
  <c r="G196"/>
  <c r="F196"/>
  <c r="L189"/>
  <c r="K189"/>
  <c r="J189"/>
  <c r="G189"/>
  <c r="F189"/>
  <c r="L181"/>
  <c r="K181"/>
  <c r="J181"/>
  <c r="G181"/>
  <c r="F181"/>
  <c r="L167"/>
  <c r="K167"/>
  <c r="J167"/>
  <c r="G167"/>
  <c r="F167"/>
  <c r="L160"/>
  <c r="K160"/>
  <c r="J160"/>
  <c r="G160"/>
  <c r="F160"/>
  <c r="L153"/>
  <c r="K153"/>
  <c r="J153"/>
  <c r="G153"/>
  <c r="F153"/>
  <c r="L145"/>
  <c r="K145"/>
  <c r="J145"/>
  <c r="H145"/>
  <c r="G145"/>
  <c r="F145"/>
  <c r="L138"/>
  <c r="K138"/>
  <c r="J138"/>
  <c r="G138"/>
  <c r="F138"/>
  <c r="L131"/>
  <c r="K131"/>
  <c r="J131"/>
  <c r="G131"/>
  <c r="F131"/>
  <c r="L124"/>
  <c r="K124"/>
  <c r="J124"/>
  <c r="G124"/>
  <c r="F124"/>
  <c r="L117"/>
  <c r="K117"/>
  <c r="J117"/>
  <c r="G117"/>
  <c r="F117"/>
  <c r="L109"/>
  <c r="K109"/>
  <c r="J109"/>
  <c r="G109"/>
  <c r="F109"/>
  <c r="L102"/>
  <c r="K102"/>
  <c r="J102"/>
  <c r="G102"/>
  <c r="F102"/>
  <c r="L95"/>
  <c r="K95"/>
  <c r="J95"/>
  <c r="H95"/>
  <c r="G95"/>
  <c r="F95"/>
  <c r="L88"/>
  <c r="K88"/>
  <c r="J88"/>
  <c r="G88"/>
  <c r="F88"/>
  <c r="L81"/>
  <c r="K81"/>
  <c r="J81"/>
  <c r="G81"/>
  <c r="F81"/>
  <c r="L73"/>
  <c r="K73"/>
  <c r="J73"/>
  <c r="G73"/>
  <c r="F73"/>
  <c r="L66"/>
  <c r="K66"/>
  <c r="J66"/>
  <c r="G66"/>
  <c r="F66"/>
  <c r="L59"/>
  <c r="K59"/>
  <c r="J59"/>
  <c r="G59"/>
  <c r="F59"/>
  <c r="L52"/>
  <c r="K52"/>
  <c r="J52"/>
  <c r="H52"/>
  <c r="G52"/>
  <c r="F52"/>
  <c r="L45"/>
  <c r="K45"/>
  <c r="J45"/>
  <c r="H45"/>
  <c r="G45"/>
  <c r="F45"/>
  <c r="A583"/>
  <c r="C582"/>
  <c r="C581"/>
  <c r="C578"/>
  <c r="C575"/>
  <c r="C574"/>
  <c r="C571"/>
  <c r="C568"/>
  <c r="C567"/>
  <c r="C564"/>
  <c r="C561"/>
  <c r="C560"/>
  <c r="C557"/>
  <c r="A547"/>
  <c r="C546"/>
  <c r="C545"/>
  <c r="C542"/>
  <c r="C539"/>
  <c r="C538"/>
  <c r="C535"/>
  <c r="C532"/>
  <c r="C531"/>
  <c r="C528"/>
  <c r="C525"/>
  <c r="C524"/>
  <c r="C521"/>
  <c r="A510"/>
  <c r="C509"/>
  <c r="C508"/>
  <c r="C505"/>
  <c r="C502"/>
  <c r="C501"/>
  <c r="C498"/>
  <c r="C495"/>
  <c r="C494"/>
  <c r="C491"/>
  <c r="C488"/>
  <c r="C487"/>
  <c r="C484"/>
  <c r="A474"/>
  <c r="C473"/>
  <c r="C472"/>
  <c r="C469"/>
  <c r="C466"/>
  <c r="C465"/>
  <c r="C462"/>
  <c r="C459"/>
  <c r="C458"/>
  <c r="C455"/>
  <c r="C452"/>
  <c r="C451"/>
  <c r="C448"/>
  <c r="A438"/>
  <c r="C437"/>
  <c r="C436"/>
  <c r="C433"/>
  <c r="C430"/>
  <c r="C429"/>
  <c r="C426"/>
  <c r="C423"/>
  <c r="C422"/>
  <c r="C419"/>
  <c r="C416"/>
  <c r="C415"/>
  <c r="C412"/>
  <c r="C401"/>
  <c r="C400"/>
  <c r="C399"/>
  <c r="C398"/>
  <c r="C397"/>
  <c r="C394"/>
  <c r="C393"/>
  <c r="C392"/>
  <c r="C391"/>
  <c r="C390"/>
  <c r="C387"/>
  <c r="C386"/>
  <c r="C385"/>
  <c r="C384"/>
  <c r="C383"/>
  <c r="C380"/>
  <c r="C379"/>
  <c r="C378"/>
  <c r="C377"/>
  <c r="C376"/>
  <c r="A364"/>
  <c r="C363"/>
  <c r="C362"/>
  <c r="C359"/>
  <c r="C356"/>
  <c r="C355"/>
  <c r="C352"/>
  <c r="C349"/>
  <c r="C348"/>
  <c r="C345"/>
  <c r="C342"/>
  <c r="C341"/>
  <c r="C338"/>
  <c r="A328"/>
  <c r="C327"/>
  <c r="C326"/>
  <c r="C323"/>
  <c r="C320"/>
  <c r="C319"/>
  <c r="C316"/>
  <c r="C313"/>
  <c r="C312"/>
  <c r="C309"/>
  <c r="C306"/>
  <c r="C305"/>
  <c r="C302"/>
  <c r="A292"/>
  <c r="C291"/>
  <c r="C290"/>
  <c r="C287"/>
  <c r="C284"/>
  <c r="C283"/>
  <c r="C280"/>
  <c r="C277"/>
  <c r="C276"/>
  <c r="C273"/>
  <c r="C270"/>
  <c r="C269"/>
  <c r="C266"/>
  <c r="A256"/>
  <c r="C255"/>
  <c r="C254"/>
  <c r="C251"/>
  <c r="C248"/>
  <c r="C247"/>
  <c r="C244"/>
  <c r="C241"/>
  <c r="C240"/>
  <c r="C237"/>
  <c r="C234"/>
  <c r="C233"/>
  <c r="C230"/>
  <c r="A220"/>
  <c r="C219"/>
  <c r="C218"/>
  <c r="C215"/>
  <c r="C212"/>
  <c r="C211"/>
  <c r="C208"/>
  <c r="C205"/>
  <c r="C204"/>
  <c r="C201"/>
  <c r="C198"/>
  <c r="C197"/>
  <c r="C194"/>
  <c r="A184"/>
  <c r="C183"/>
  <c r="C182"/>
  <c r="C179"/>
  <c r="C176"/>
  <c r="C175"/>
  <c r="C172"/>
  <c r="C169"/>
  <c r="C168"/>
  <c r="C165"/>
  <c r="C162"/>
  <c r="C161"/>
  <c r="C158"/>
  <c r="A148"/>
  <c r="C147"/>
  <c r="C146"/>
  <c r="C143"/>
  <c r="C140"/>
  <c r="C139"/>
  <c r="C136"/>
  <c r="C133"/>
  <c r="C132"/>
  <c r="C129"/>
  <c r="C126"/>
  <c r="C125"/>
  <c r="C122"/>
  <c r="A112"/>
  <c r="C111"/>
  <c r="C110"/>
  <c r="C107"/>
  <c r="C104"/>
  <c r="C103"/>
  <c r="C100"/>
  <c r="C97"/>
  <c r="C96"/>
  <c r="C93"/>
  <c r="C90"/>
  <c r="C89"/>
  <c r="C86"/>
  <c r="A76"/>
  <c r="C75"/>
  <c r="C74"/>
  <c r="C71"/>
  <c r="C68"/>
  <c r="C67"/>
  <c r="C64"/>
  <c r="C61"/>
  <c r="C60"/>
  <c r="C57"/>
  <c r="C54"/>
  <c r="C53"/>
  <c r="C50"/>
  <c r="C39"/>
  <c r="C38"/>
  <c r="C37"/>
  <c r="C36"/>
  <c r="C35"/>
  <c r="C32"/>
  <c r="C31"/>
  <c r="C30"/>
  <c r="C29"/>
  <c r="C28"/>
  <c r="C25"/>
  <c r="C24"/>
  <c r="C23"/>
  <c r="C22"/>
  <c r="C21"/>
  <c r="C18"/>
  <c r="C17"/>
  <c r="C16"/>
  <c r="C15"/>
  <c r="C14"/>
</calcChain>
</file>

<file path=xl/sharedStrings.xml><?xml version="1.0" encoding="utf-8"?>
<sst xmlns="http://schemas.openxmlformats.org/spreadsheetml/2006/main" count="3870" uniqueCount="729">
  <si>
    <t>F.T.S.1</t>
  </si>
  <si>
    <t>Minestrone</t>
  </si>
  <si>
    <t>F.T.S.2</t>
  </si>
  <si>
    <t>F.T.S.3</t>
  </si>
  <si>
    <t>F.T.S.4</t>
  </si>
  <si>
    <t>F.T.S.5</t>
  </si>
  <si>
    <t>F.T.S.6</t>
  </si>
  <si>
    <t>F.T.S.7</t>
  </si>
  <si>
    <t>F.T.S.8</t>
  </si>
  <si>
    <t>F.T.S.9</t>
  </si>
  <si>
    <t>F.T.S.10</t>
  </si>
  <si>
    <t>F.T.S.11</t>
  </si>
  <si>
    <t>F.T.S.12</t>
  </si>
  <si>
    <t>F.T.S.13</t>
  </si>
  <si>
    <t>F.T.S.14</t>
  </si>
  <si>
    <t>F.T.S.15</t>
  </si>
  <si>
    <t>Segunda-Feira</t>
  </si>
  <si>
    <t>Sopa</t>
  </si>
  <si>
    <t>Prato</t>
  </si>
  <si>
    <t>Sobremesa</t>
  </si>
  <si>
    <t>Pão</t>
  </si>
  <si>
    <t>Terça-Feira</t>
  </si>
  <si>
    <t>Quarta-Feira</t>
  </si>
  <si>
    <t>Quinta-Feira</t>
  </si>
  <si>
    <t>Sexta-Feira</t>
  </si>
  <si>
    <t>Pão de mistura</t>
  </si>
  <si>
    <t>Fruta da época (min. 3 variedades)</t>
  </si>
  <si>
    <t>Feijão-verde</t>
  </si>
  <si>
    <t>Alface, couve roxa e milho</t>
  </si>
  <si>
    <t>Creme de legumes</t>
  </si>
  <si>
    <t>Couve branca com cenoura ripada</t>
  </si>
  <si>
    <t>Juliana</t>
  </si>
  <si>
    <t>Lavrador</t>
  </si>
  <si>
    <t>Alface, beterraba e cenoura</t>
  </si>
  <si>
    <t>Macedónia de legumes</t>
  </si>
  <si>
    <t>Couve branca</t>
  </si>
  <si>
    <t>Creme de ervilhas e cenoura</t>
  </si>
  <si>
    <t>Horta</t>
  </si>
  <si>
    <t xml:space="preserve">Fruta da época (min. 3 variedades) </t>
  </si>
  <si>
    <t>Alho francês</t>
  </si>
  <si>
    <t>Legumes com ervilhas</t>
  </si>
  <si>
    <t>Camponesa</t>
  </si>
  <si>
    <t>Fruta da época (min. 3 variedades) / Fruta assada</t>
  </si>
  <si>
    <t>Ingredientes</t>
  </si>
  <si>
    <t>Capitação</t>
  </si>
  <si>
    <t>Nº</t>
  </si>
  <si>
    <t>Nome</t>
  </si>
  <si>
    <t>Método culinário:</t>
  </si>
  <si>
    <t>Fichas Técnicas das Ementas de Sopa</t>
  </si>
  <si>
    <t>Fichas Técnicas das Ementas de Acompanhamentos</t>
  </si>
  <si>
    <t>Fichas Técnicas das Ementas de Sobremesas</t>
  </si>
  <si>
    <t>Fruta da época (min. 3 variedades) / Fruta cozida</t>
  </si>
  <si>
    <t>Couve lombarda</t>
  </si>
  <si>
    <t>Batata assada</t>
  </si>
  <si>
    <t>Batata cozida</t>
  </si>
  <si>
    <t>FT</t>
  </si>
  <si>
    <t>F.T.S.17</t>
  </si>
  <si>
    <t>F.T.S.19</t>
  </si>
  <si>
    <t>F.T.S.20</t>
  </si>
  <si>
    <t>F.T.S.21</t>
  </si>
  <si>
    <t>F.T.S.22</t>
  </si>
  <si>
    <t>F.T.S.23</t>
  </si>
  <si>
    <t>F.T.S.24</t>
  </si>
  <si>
    <t>F.T.S.25</t>
  </si>
  <si>
    <t>F.T.S.26</t>
  </si>
  <si>
    <t>F.T.S.27</t>
  </si>
  <si>
    <t>F.T.S.28</t>
  </si>
  <si>
    <t>F.T.S.29</t>
  </si>
  <si>
    <t>F.T.S.30</t>
  </si>
  <si>
    <t>F.T.S.31</t>
  </si>
  <si>
    <t>F.T.S.32</t>
  </si>
  <si>
    <t>F.T.S.33</t>
  </si>
  <si>
    <t>F.T.S.34</t>
  </si>
  <si>
    <t>F.T.S.35</t>
  </si>
  <si>
    <t>Primavera</t>
  </si>
  <si>
    <t>Saloia</t>
  </si>
  <si>
    <t>Portuguesa</t>
  </si>
  <si>
    <t>Nabiças com feijão-frade</t>
  </si>
  <si>
    <t>Brócolos</t>
  </si>
  <si>
    <t>Creme de couve-flor</t>
  </si>
  <si>
    <t>Creme de Feijão-verde</t>
  </si>
  <si>
    <t>Fichas Técnicas das Ementas de Saladas e Legumes</t>
  </si>
  <si>
    <t>Cenoura</t>
  </si>
  <si>
    <t>F.T.S.18</t>
  </si>
  <si>
    <t>Tomate</t>
  </si>
  <si>
    <t>Semana</t>
  </si>
  <si>
    <t>Prato e Vegetais</t>
  </si>
  <si>
    <t>VE
(KJ)</t>
  </si>
  <si>
    <t>VE
(Kcal)</t>
  </si>
  <si>
    <t>Lip.
(g)</t>
  </si>
  <si>
    <t>AG Sat.
(g)</t>
  </si>
  <si>
    <t>HC
(g)</t>
  </si>
  <si>
    <t>Prot.
(g)</t>
  </si>
  <si>
    <t>Sal
(g)</t>
  </si>
  <si>
    <t>Açúcar
(g)</t>
  </si>
  <si>
    <t>Pode ser solicitada a  Ficha Técnica do Pão aos funcionários.</t>
  </si>
  <si>
    <t xml:space="preserve">
A sua refeição contém ou pode conter as seguintes substâncias ou produtos e seus derivados: 1Cereais que contêm glúten, 2Crustáceos , 3Ovos, 4Peixes, 5Amendoins, 6Soja, 7Leite, 8Frutos de casca rija, 9Aipo, 10Mostarda, 11Sementes de sésamo, 12Dióxido de enxofre e sulfitos, 13Tremoço, 14Moluscos. 
Para quem não é alérgico ou intolerante, estas substâncias ou produtos são completamente inofensivas. 
Caso necessite informação adicional sobre os produtos em causa deve solicitar aos funcionários.
Declaração nutricional: valores médios de 100 g ou 100 ml, calculados a partir dos valores médios conhecidos dos ingredientes utilizados, segundo o Instituto Nacional de Saúde Dr. Ricardo Jorge, Tabela da Composição de Alimentos (2007), e a informação disponibilizada pelos fornecedores.
Legenda: VE - Valor energético, Líp. - Lípidos, AG Sat. - Ácidos Gordos Saturados, HC - Hidratos de Carbono, Prot. - Proteínas.
</t>
  </si>
  <si>
    <t>Alface, couve roxa e pepino</t>
  </si>
  <si>
    <t>pode ser solicitada a Ficha Técnica do Pão ao funcionários.</t>
  </si>
  <si>
    <t>Alface, beterraba e milho</t>
  </si>
  <si>
    <t>Caldo verde</t>
  </si>
  <si>
    <t>Fruta da época (min. 3 variedades)  / Fruta cozida</t>
  </si>
  <si>
    <t>Semana 1</t>
  </si>
  <si>
    <t>Semana 2</t>
  </si>
  <si>
    <t>Semana 3</t>
  </si>
  <si>
    <t>Semana 4</t>
  </si>
  <si>
    <t>Semana 5</t>
  </si>
  <si>
    <t>Semana 6</t>
  </si>
  <si>
    <t>Semana 7</t>
  </si>
  <si>
    <t>Semana 8</t>
  </si>
  <si>
    <t>Semana 9</t>
  </si>
  <si>
    <t>Semana 10</t>
  </si>
  <si>
    <t>Semana 11</t>
  </si>
  <si>
    <t>Semana 12</t>
  </si>
  <si>
    <t>Alface, pepino e tomate</t>
  </si>
  <si>
    <t>Alface, beterraba e tomate</t>
  </si>
  <si>
    <t>Feijão vermelho</t>
  </si>
  <si>
    <t>Fruta da época (min. 3 variedades)/ Fruta cozida</t>
  </si>
  <si>
    <t>Feijão vermelho com hortaliça</t>
  </si>
  <si>
    <t>Sopa da horta</t>
  </si>
  <si>
    <t>Alface, milho e tomate</t>
  </si>
  <si>
    <t>Cenoura, couve roxa e pepino</t>
  </si>
  <si>
    <t>Alface, cenoura e couve roxa</t>
  </si>
  <si>
    <t>Fruta da época (min. 3 variedades)/Fruta assada</t>
  </si>
  <si>
    <t>Abóbora com massinhas</t>
  </si>
  <si>
    <t>Creme de cenoura com couve branca</t>
  </si>
  <si>
    <t>Alface, couve-roxa e pepino</t>
  </si>
  <si>
    <t>Cenoura, couve roxa e tomate</t>
  </si>
  <si>
    <t>Fruta da época (min. 3 variedades)/Fruta cozida</t>
  </si>
  <si>
    <t>lombarda</t>
  </si>
  <si>
    <t>Creme de alho francês com couve-flor</t>
  </si>
  <si>
    <t>Alface, couve em juliana e milho</t>
  </si>
  <si>
    <t>Alface, beterraba e pepino</t>
  </si>
  <si>
    <t>Agrião</t>
  </si>
  <si>
    <t>Alho francês com curgete</t>
  </si>
  <si>
    <t>Espinafres com cenoura</t>
  </si>
  <si>
    <t>Alface, cenoura e curgete</t>
  </si>
  <si>
    <t>Cenoura, milho e tomate</t>
  </si>
  <si>
    <t>Alface, cenoura e couve-roxa</t>
  </si>
  <si>
    <t>Couve-de bruxelas, milho e tomate</t>
  </si>
  <si>
    <t>Feijão branco</t>
  </si>
  <si>
    <t>Couve-flor com cenoura</t>
  </si>
  <si>
    <t>Sopa da Horta</t>
  </si>
  <si>
    <t>Feijão-verde com couve lombarda</t>
  </si>
  <si>
    <t>Couve-roxa, pimento e tomate</t>
  </si>
  <si>
    <t>Alface, cenoura e milho</t>
  </si>
  <si>
    <t>Cenoura, couve-roxa e tomate</t>
  </si>
  <si>
    <t>Alho-francês</t>
  </si>
  <si>
    <t>Alface, cenoura e tomate</t>
  </si>
  <si>
    <t>Milho, pepino e tomate</t>
  </si>
  <si>
    <t>Alface, couve-roxa e tomate</t>
  </si>
  <si>
    <t>Beterraba, cenoura e tomate</t>
  </si>
  <si>
    <t>Alface, cenoura e miho</t>
  </si>
  <si>
    <t>Sopa de tomate</t>
  </si>
  <si>
    <t>Alface, milho e pimento</t>
  </si>
  <si>
    <t>Curgete, pepino e tomate</t>
  </si>
  <si>
    <t>Creme de alho francês com cenoura e curgete</t>
  </si>
  <si>
    <t>Fruta da época (min. 3 variedades) /Fruta cozida</t>
  </si>
  <si>
    <t>Feijão branco com couve lombarda</t>
  </si>
  <si>
    <t>Fruta da época (min. 3 variedades) /Fruta assada</t>
  </si>
  <si>
    <t>Couve-roxa, pepino e tomate</t>
  </si>
  <si>
    <t>Alface, cenoura e pimento</t>
  </si>
  <si>
    <t>Creme de feijão-verde</t>
  </si>
  <si>
    <t>Couve-roxa, cenoura e tomate</t>
  </si>
  <si>
    <t>Cebola</t>
  </si>
  <si>
    <t>Azeite</t>
  </si>
  <si>
    <t>Sal</t>
  </si>
  <si>
    <t>Alho</t>
  </si>
  <si>
    <t>160g</t>
  </si>
  <si>
    <t>40g</t>
  </si>
  <si>
    <t>35g</t>
  </si>
  <si>
    <t>25g</t>
  </si>
  <si>
    <t>3ml</t>
  </si>
  <si>
    <t>≤0,2g</t>
  </si>
  <si>
    <t>q.b.</t>
  </si>
  <si>
    <t>Grão-de-bico</t>
  </si>
  <si>
    <t>Massa</t>
  </si>
  <si>
    <t>80g</t>
  </si>
  <si>
    <t>50g</t>
  </si>
  <si>
    <t>20g</t>
  </si>
  <si>
    <t>10g</t>
  </si>
  <si>
    <t>Salsa</t>
  </si>
  <si>
    <t>Orégãos</t>
  </si>
  <si>
    <t>Batata</t>
  </si>
  <si>
    <t>270g</t>
  </si>
  <si>
    <t>220g</t>
  </si>
  <si>
    <t>45g</t>
  </si>
  <si>
    <t>Arroz</t>
  </si>
  <si>
    <t>≤ 0,2g</t>
  </si>
  <si>
    <t>Cogumelos</t>
  </si>
  <si>
    <t>150g</t>
  </si>
  <si>
    <t>Ervilhas</t>
  </si>
  <si>
    <t>60g</t>
  </si>
  <si>
    <t>30g</t>
  </si>
  <si>
    <t>Chouriço</t>
  </si>
  <si>
    <t>250g</t>
  </si>
  <si>
    <t>20ml</t>
  </si>
  <si>
    <t>Feijão vermelho seco</t>
  </si>
  <si>
    <t>Noz-moscada</t>
  </si>
  <si>
    <t>Milho</t>
  </si>
  <si>
    <t>120g</t>
  </si>
  <si>
    <t>200g</t>
  </si>
  <si>
    <t>Manjericão</t>
  </si>
  <si>
    <t>55g</t>
  </si>
  <si>
    <t>Leite de vaca UHT meio gordo</t>
  </si>
  <si>
    <t>5ml</t>
  </si>
  <si>
    <t>170g</t>
  </si>
  <si>
    <t>Feijão-frade</t>
  </si>
  <si>
    <t>240g</t>
  </si>
  <si>
    <t>Batatas</t>
  </si>
  <si>
    <t>Abóbora</t>
  </si>
  <si>
    <t>Lavar, descascar e cortar as batatas, a cenoura, a cebola e o alho. Cozer todo o preparado, exceto metade das cenouras, em água. Depois de cozido, acrescentar o feijão-verde, a abóbora e a restante cenoura cortada aos cubos e previamente lavada. Retificar o tempero e no final da cozedura, juntar o azeite.</t>
  </si>
  <si>
    <t>Nabo</t>
  </si>
  <si>
    <t>Lavar, descascar e cortar as batatas, as cebolas, o nabo e o alho e cozer. Depois de cozido triturar e adicionar o feijão-verde e a cenoura previamente cortados em porções pequenas e a ervilha. Deixar cozer, retificar o tempero e no final adicionar o azeite.</t>
  </si>
  <si>
    <t>Repolho</t>
  </si>
  <si>
    <t>Lavar e descascar as cenouras, as batatas, a abóbora, o nabo e as cebolas. Preparar a cenoura aos quadradinhos. Numa panela colocar a água com as batatas, nabo e a cebola. Deixar cozer. Triturar a base da sopa. Juntar a cenoura, o repolho e as ervilhas e deixar cozer. No final da cozedura, retificar o tempero e adicionar o azeite.</t>
  </si>
  <si>
    <t>Lavar, descascar e cortar metade das cenouras, as batatas, as cebolas, o alho e o nabo. Colocar tudo numa panela e deixar cozer. Depois de cozido reduzir tudo a puré e adicionar a cenoura (cortada aos cubos), o repolho (em juliana) e as ervilhas e deixar cozer. Retificar o tempero e no final adicionar o azeite.</t>
  </si>
  <si>
    <t>De véspera, demolhar o feijão. No dia, lavar, descascar e cortar as batatas, as cebolas e o alho e preparar a couve-lombarda cortada em juliana. Cozer as batatas, as cebolas e o alho em água. Seguidamente triturar tudo com algum feijão, previamente cozido, e adicionar a água de cozer o feijão. Acrescentar a couve-lombarda e deixar cozer. Adicionar o restante feijão, retificar o tempero e juntar o azeite no final da cozedura.</t>
  </si>
  <si>
    <t>Feijão Vermelho</t>
  </si>
  <si>
    <t>Demolhar o feijão de véspera. Lavar, descascar e cortar as batatas, as cebolas, os alhos e metade das cenouras e cozer em água. Depois de cozidos, adicionar metade do feijão (previamente cozido) e a água de o cozer e triturar o preparado. Juntar a couve lombarda (cortada em juliana) e o resto das cenouras (cortada aos cubos) até cozer. Antes do final da cozedura, adicionar o resto do feijão e se necessário alguma água de o cozer. Retificar o tempero. Após cozedura adicionar o azeite.</t>
  </si>
  <si>
    <t>Couve portuguesa</t>
  </si>
  <si>
    <t>Demolhar o feijão de véspera. No dia, lavar, descascar e cortar os ingredientes e cozer em água, exceto o feijão (cozido previamente) e a couve (previamente lavada e cortada às tiras). Após cozer, triturar o preparado e adicionar o feijão e a couve. Retificar o tempero). No fim da cozedura, acrescentar o azeite.</t>
  </si>
  <si>
    <t>Couve-portuguesa</t>
  </si>
  <si>
    <t>Feijão</t>
  </si>
  <si>
    <t>Demolhar o feijão de véspera. Lavar, descascar e cortar os ingredientes e cozer em água, exceto a couve portuguesa e metade do feijão (previamente cozido). Após cozer, triturar o preparado e adicionar a couve portuguesa (cortada em juliana) e o restante feijão. No fim da cozedura, acrescentar o azeite.</t>
  </si>
  <si>
    <t>Curgete</t>
  </si>
  <si>
    <t>Demolhar o feijão de véspera. No dia, lavar, descascar e cortar as batatas, metade das cenouras e as cebolas e levar a cozer em água. Adicionar cerca de metade do feijão (previamente cozido) ao preparado anterior. Triturar o preparado e juntar a couve lombarda (previamente cortada e lavada) e o resto das cenouras até cozer. Antes do final da cozedura, adicionar o restante feijão e deixar apurar. No final retificar o tempero e acrescentar o azeite.</t>
  </si>
  <si>
    <t>Caldo- verde</t>
  </si>
  <si>
    <t>0,2g</t>
  </si>
  <si>
    <t>Lavar e descascar a batata, o alho, e a cebola. Cozer em água. Depois de cozido, triturar os legumes. Juntar o caldo-verde e deixar cozer. No final da cozedura adicionar o azeite e retificar o tempero. Servir com chouriço previamente cozido.</t>
  </si>
  <si>
    <t>Massa cotovelos</t>
  </si>
  <si>
    <t>Lavar, descascar e cortar a abóbora, o alho francês, as cenouras, as curgetes e as cebolas e cozer em água. Depois de cozidos, triturar tudo. Acrescentar a massa e deixar cozer. Retificar o tempero e adicionar o azeite no final da cozedura.</t>
  </si>
  <si>
    <t>Couve branca/Couve lombarda</t>
  </si>
  <si>
    <t>Lavar, descascar e cortar os ingredientes e levar a cozer a batata, a cebola, o alho, a cenoura e a abóbora. Após cozedura, triturar o preparado e adicionar a couve cortada em juliana e deixar cozer. Antes do final da cozedura retificar o tempero e no final adicionar o azeite.</t>
  </si>
  <si>
    <t>Couve-flor</t>
  </si>
  <si>
    <t>Descascar, lavar e cortar em pedaços a abóbora, a curgete, a cenoura, a cebola, o alho e cortar em pedaços. Cozer tudo em água. Após cozido, reduzir a puré. Posteriormente colocar a couve-flor, previamente lavada, aos pedaços e deixar cozer. Retificar o tempero e juntar o azeite no final da cozedura.</t>
  </si>
  <si>
    <t>Lavar, descascar e cortar os ingredientes e levar a cozer a batata, a cebola, o alho, metade da cenoura, a abóbora e a curgete. Após cozedura, triturar o preparado e adicionar a couve cortada em juliana e a restante cenoura raspada e deixar cozer. Antes do final da cozedura retificar o tempero e no final adicionar o azeite.</t>
  </si>
  <si>
    <t>Nabo com espinafres/cenoura e couve lombarda</t>
  </si>
  <si>
    <t>Espinafres/Cenoura</t>
  </si>
  <si>
    <t>40g/45g</t>
  </si>
  <si>
    <t>Lavar, descascar e cortar os ingredientes e levar a cozer a batata, a cebola, o alho, o nabo, metade das cenouras (quando se aplica) e a couve lombarda. Após cozedura, triturar o preparado e adicionar os espinafres em juliana ou a restante cenoura raspada. Antes do final da cozedura retificar o tempero e no final adicionar o azeite.</t>
  </si>
  <si>
    <t>F.T.S.16</t>
  </si>
  <si>
    <t>Descascar, lavar e cortar o alho francês, a cenoura, a abóbora, a curgete, o nabo, o alho e a cebola e cortar tudo em pedaços. Adicionar todos os ingredientes, exceto a curgete e levar a cozer. Após cozido, reduzir a puré, acrescentar a curgete e deixar cozer. Retificar o tempero e adicionar o azeite no final da cozedura.</t>
  </si>
  <si>
    <t>Alho Francês</t>
  </si>
  <si>
    <t>Lavar, descascar e cortar a abóbora, a curgete, a cenoura, o nabo, o alho francês e as cebolas. Levar a cozer tudo exceto metade do alho francês. Depois de cozido, triturar tudo e adicionar o restante alho francês, previamente cortado às rodelas. Antes do final da cozedura retificar o tempero e no final adicionar o azeite.</t>
  </si>
  <si>
    <t>Nabiças</t>
  </si>
  <si>
    <t>30gr</t>
  </si>
  <si>
    <t>De véspera demolhar o feijão-frade. Descascar e lavar as batatas, as cenouras, os alhos e as cebolas e levar a cozer em água a ferver. Depois de tudo cozido, triturar a sopa e algum feijão-frade (previamente cozido). Adicionar as nabiças previamente lavadas e preparadas. Deixar cozer e juntar o restante feijão-frade já cozido. Por fim, juntar o sal e o azeite.</t>
  </si>
  <si>
    <t>Sopa de Tomate</t>
  </si>
  <si>
    <t>35gr</t>
  </si>
  <si>
    <t>Limpar o tomate de pele e sementes. Lavar, descascar e cortar os ingredientes e cozer em água. Após cozer, triturar o preparado, retificar o tempero e adicionar o azeite.</t>
  </si>
  <si>
    <t>Descascar, lavar e cortar as batatas, as cenouras, as cebolas e os alhos e cozer em água a ferver. Posteriormente triturar a sopa e adicionar o agrião previamente cortado e lavado. Deixar o agrião cozer. Retificar o sal e juntar o azeite no final da cozedura.</t>
  </si>
  <si>
    <t>Lavar, descascar e cortar as batatas, a couve branca, a cenoura, a cebola, o alho e cozer em água. Preparar o feijão-verde às tirinhas. Depois de cozido, triturar os legumes. Acrescentar o feijão-verde, deixar cozer e retificar os temperos. No final da cozedura, juntar o azeite.</t>
  </si>
  <si>
    <t>Espinafres</t>
  </si>
  <si>
    <t>Lavar, descascar, cortar os ingredientes e cozer em água, exceto a cenoura e os espinafres. Após cozer, triturar o preparado e adicionar a cenoura, previamente cortada aos cubos, e os espinafres. No fim da cozedura, retificar o tempero e acrescentar o azeite.</t>
  </si>
  <si>
    <t>Grão-de-bico/feijão (branco ou vermelho) com couve-lombarda/ espinafres</t>
  </si>
  <si>
    <t>Couve-lombarda/espinafres</t>
  </si>
  <si>
    <t>Grão-de-bico/feijão branco</t>
  </si>
  <si>
    <t>De véspera, demolhar o grão/feijão. No dia, lavar, descascar e cortar os ingredientes e levar a cozer a batata, a cebola, o alho e a cenoura. À parte cozer o feijão/grão. Após cozedura, triturar os legumes e metade do feijão/grão anteriormente cozidos. Adicionar a couve cortada em juliana ou os espinafres e deixar cozer. Antes do final adicionar o restante feijão/grão retificar o tempero e no final adicionar o azeite.</t>
  </si>
  <si>
    <t>Grão-de-bico com couve-lombarda/espinafres/feijão-verde/nabiças</t>
  </si>
  <si>
    <t>Couve- lombarda/espinafres/feijão- verde/nabiças</t>
  </si>
  <si>
    <t>De véspera demolhar o grão. No dia, descascar, lavar e cortar em pedaços a batata, a cenoura, a cebola e o alho. Levar os ingredientes a cozer. Após cozedura, triturar os legumes e metade do feijão/grão anteriormente cozidos. Adicionar a couve-lombarda/ espinafres/feijão-verde/nabiças em pedaços e deixar cozer. Antes do final adicionar o restante feijão/grão retificar o tempero e no final adicionar o azeite.</t>
  </si>
  <si>
    <t>Feijão vermelho com hortaliça (couve lombarda e couve branca)</t>
  </si>
  <si>
    <t>De véspera, demolhar o feijão. No dia, lavar, descascar e cortar todos os ingredientes e cozer, exceto metade do feijão, a couve branca e a couve lombarda. Após cozer, triturar o preparado e acrescentar os restantes vegetais. No fim da cozedura, retificar o tempero e adicionar o azeite.</t>
  </si>
  <si>
    <t>Lavar, descascar e cortar os ingredientes e cozer em água, exceto metade das ervilhas. Após cozedura, triturar o preparado e adicionar a restante metade de ervilhas. No fim da cozedura, acrescentar o azeite e retificar o tempero.</t>
  </si>
  <si>
    <t>Descascar, lavar e cortar em pedaços a batata, a abóbora, a cenoura, a couve-flor, a cebola, o nabo e o alho. Colocar os ingredientes numa panela com água e deixar cozer. Após cozido, reduzir a puré, retificar o sal e deixar ferver mais um pouco. Juntar o azeite no final.</t>
  </si>
  <si>
    <t>Descascar, lavar e cortar em pedaços a batata, a abóbora, a cenoura, a couve branca, a cebola, o nabo e o alho. Colocar os ingredientes numa panela com água e deixar cozer. Após cozido, reduzir a puré, retificar o sal e deixar ferver mais um pouco. Juntar o azeite no final.</t>
  </si>
  <si>
    <t>Curgete/couve-flor/couve</t>
  </si>
  <si>
    <t>Descascar, lavar e cortar a abóbora, os nabos, a curgete, as cenouras, as cebolas e os alhos e cozer em água. Posteriormente triturar os legumes e adicionar a couve-flor/espinafres/feijão-verde em juliana. No fim retificar os temperos e juntar o azeite no final da cozedura.</t>
  </si>
  <si>
    <t>Creme de alho francês com cenoura e curgete/ couve-flor/couve lombarda</t>
  </si>
  <si>
    <t>Lavar e descascar o alho francês, a cenoura, a abóbora, a curgete/couve-flor/couve lombarda, o nabo, o alho e a cebola e cortar tudo em pedaços. Adicionar todos os ingredientes numa panela com água e levar a cozer. Após cozido, reduzir a puré. Retificar temperos e adicionar o azeite.</t>
  </si>
  <si>
    <t>Creme de Legumes</t>
  </si>
  <si>
    <t>Lavar, descascar e cortar as batatas, o feijão-verde a couve branca, a cenoura, a cebola e o alho e cozer em água. Preparar o feijão-verde às tirinhas. Depois de cozido, triturar todo o preparado. Retificar a temperatura e no final da cozedura, juntar o azeite.</t>
  </si>
  <si>
    <t>Nabo com espinafres e ervilhas/feijão</t>
  </si>
  <si>
    <t>De véspera, demolhar o feijão</t>
  </si>
  <si>
    <t>Lavar, descascar e cortar os ingredientes e levar a cozer a batata, a cebola, o alho, o nabo, e o feijão ou a as ervilhas. Após cozedura, triturar o preparado e adicionar os espinafres em juliana. Antes do final da cozedura retificar o tempero e no final adicionar o azeite.</t>
  </si>
  <si>
    <t>Creme de ervilhas com couve-flor</t>
  </si>
  <si>
    <t>Creme de abóbora com couve-flor/espinafres/feijão-verde</t>
  </si>
  <si>
    <t>F.T.AC.1</t>
  </si>
  <si>
    <t>Puré de batata</t>
  </si>
  <si>
    <t>45ml</t>
  </si>
  <si>
    <t>Descascar as batatas e cozer em água e sal. Após cozedura passar as batatas pelo passe-vite ou desfazê-las com as varas da varinha. Colocar a batata triturada num tacho ao lume e juntar o leite quente. Adicionar a noz-moscada, mexer sempre até obter uma consistência mole.</t>
  </si>
  <si>
    <t>F.T.AC.2</t>
  </si>
  <si>
    <t>Descascar e cortar as batatas em quartos ou aos cubos. Colocar as batatas num tabuleiro e adicionar o sal, a salsa, os orégãos e por fim o azeite. Levar ao forno até cozer ao ponto de ficarem coradas.</t>
  </si>
  <si>
    <t>F.T.AC.3</t>
  </si>
  <si>
    <t>Descascar e cortar as batatas ao meio ou aos cubos e cozer em água e sal ou em tabuleiros perfurados no forno convetor (s/ adição de sal).</t>
  </si>
  <si>
    <t>F.T.AC.4</t>
  </si>
  <si>
    <t>Batata corada</t>
  </si>
  <si>
    <t>Descascar e cortar as batatas aos cubos e cozer em água e sal ou em tabuleiro perfurado a vapor. Num tabuleiro liso dispor as batatas e regar com um fio de azeite e polvilhar com manjericão e orégãos. Levar ao forno e deixar corar.</t>
  </si>
  <si>
    <t>F.T.AC.5</t>
  </si>
  <si>
    <t>Salada Russa (batata, cenoura, ervilhas e feijão-verde) / Salada Camponesa (batata, cenoura, ervilhas e milho)</t>
  </si>
  <si>
    <t>Feijão-verde/Milho</t>
  </si>
  <si>
    <t>50/30g</t>
  </si>
  <si>
    <t>Descascar e cortar as batatas aos cubos e cozer em água e sal ou em tabuleiro perfurado a vapor. Cozer também as cenouras, o feijão-verde e as ervilhas em água e sal ou em tabuleiro perfurado a vapor. Depois de cozidos todos os legumes envolver com as batatas.</t>
  </si>
  <si>
    <t>F.T.AC.6</t>
  </si>
  <si>
    <t>Cenoura/milho/ervilhas/cogumelos/couve</t>
  </si>
  <si>
    <t>30g/30g/30g/50g/30g</t>
  </si>
  <si>
    <t>Estufar a cebola e o alho em azeite. Adicionar a cenoura cortada aos cubos/milho/ervilhas previamente cozidos, de preferência a vapor. Posteriormente juntar a água e quando estiver a ferver, adicionar o arroz. No final retificar o tempero.</t>
  </si>
  <si>
    <t>F.T.AC.7</t>
  </si>
  <si>
    <t>Arroz de legumes (feijão-verde/tomate/brócolos/milho/cenoura)</t>
  </si>
  <si>
    <t>Estufar a cebola e o alho em azeite. Adicionar a cenoura cortada aos cubos e juntar dois dos restantes legumes (feijão-verde/tomate/brócolos/milho), em função da ementa e de preferência previamente cozidos a vapor. Posteriormente juntar a água e quando estiver a ferver, adicionar o arroz. No final retificar o tempero.</t>
  </si>
  <si>
    <t>F.T.AC.8</t>
  </si>
  <si>
    <t>Arroz de branco</t>
  </si>
  <si>
    <t>Picar o alho e a cebola e estufar em azeite. Adicionar água ao preparado. Após fervura acrescentar o arroz. No final retificar o tempero.</t>
  </si>
  <si>
    <t>F.T.AC.9</t>
  </si>
  <si>
    <t>Levar água num tacho ao lume até ferver. Posteriormente adicionar a massa (esparguete/espirais/macarronete/ fusili) e parte do sal e deixar cozer. No final retificar o tempero.</t>
  </si>
  <si>
    <t>F.T.AC.10</t>
  </si>
  <si>
    <t>Ervilhas/ cenoura/ couve-flor/ milho/ cenoura baby/ feijão-verde/ couve lombarda/ couve-de-bruxelas/ brócolos</t>
  </si>
  <si>
    <t>Couve-lombarda</t>
  </si>
  <si>
    <t>Cenoura baby</t>
  </si>
  <si>
    <t>Couve-de-bruxelas</t>
  </si>
  <si>
    <t>Levar água num tacho ao lume até ferver. Posteriormente adicionar o(s) legume(s) mencionados e adicionar parte do sal e deixar cozer. No final retificar o tempero OU levar o(s) legume(s) em tabuleiro perfurado ao forno convetor e colocar no módulo de cozedura a vapor, sem adicionar sal. Deixar cozer.</t>
  </si>
  <si>
    <t>F.T.AC.11</t>
  </si>
  <si>
    <t>Levar água num tacho ao lume até ferver. Posteriormente adicionar o(s) legume(s) mencionados e adicionar parte do sal e deixar cozer. No final retificar o tempero OU levar o(s) legume(s) em tabuleiro perfurado ao forno convetor e colocar no módulo de cozedura a vapor, sem adicionar sal. Deixar cozer. Num tacho à parte colocar cebola, alho e o(s) respetivo(s) legume(s), adicionar o azeite e levar ao lume a estufar.</t>
  </si>
  <si>
    <t>F.T.AC.12</t>
  </si>
  <si>
    <t>Levar água num tacho ao lume até ferver. Posteriormente adicionar os legumes mencionados e adicionar parte do sal e deixar cozer. No final retificar o tempero OU levar os legumes em tabuleiro perfurado ao forno convetor e colocar no módulo de cozedura a vapor, sem adicionar sal. Deixar cozer. Servir e temperar com azeite.</t>
  </si>
  <si>
    <t>F.T.AC.13</t>
  </si>
  <si>
    <t>Salada Tricolor (cenoura, cogumelos e ervilhas)</t>
  </si>
  <si>
    <t>Cozer os legumes e as batatas separadamente (em água ou a vapor) numa panela com água a ferver e sal. De seguida, colocar as batatas cortadas aos cubos e os legumes. Após servido, pode ser temperado com azeite.</t>
  </si>
  <si>
    <t>F.T.AC.14</t>
  </si>
  <si>
    <t>Arroz de feijão</t>
  </si>
  <si>
    <t>Estufar a cebola, o alho e o tomate em azeite. Adicionar o feijão previamente demolhado e cozido Adicionar a água de cozer o feijão. Após fervura adicionar o arroz.</t>
  </si>
  <si>
    <t>F.T.AC.15</t>
  </si>
  <si>
    <t>Macedónia de legumes estufados</t>
  </si>
  <si>
    <t>Levar água num tacho ao lume até ferver. Posteriormente adicionar os legumes mencionados e adicionar parte do sal e deixar cozer. No final retificar o tempero OU levar os legumes em tabuleiro perfurado ao forno convetor e colocar no módulo de cozedura a vapor, sem adicionar sal. Deixar cozer. Num tacho à parte colocar cebola, alho e o(s) respetivo(s) legume(s), adicionar o azeite e levar ao lume a estufar.</t>
  </si>
  <si>
    <t>Arroz de cenoura/milho/ervilhas/cogumelos/couve</t>
  </si>
  <si>
    <t>Esparguete/espirais/macarronete/fusili</t>
  </si>
  <si>
    <t>Estufado de legumes (brócolos/cenoura/tomate/feijão- verde/cogumelos/ervilhas/ curgete)</t>
  </si>
  <si>
    <t>F.T.SOB 1</t>
  </si>
  <si>
    <t>Gelatina com frutas</t>
  </si>
  <si>
    <t>Água</t>
  </si>
  <si>
    <t>Gelatina em pó</t>
  </si>
  <si>
    <t>Abacaxi</t>
  </si>
  <si>
    <t>Laranja</t>
  </si>
  <si>
    <t>Morango</t>
  </si>
  <si>
    <t>80ml</t>
  </si>
  <si>
    <t>16g</t>
  </si>
  <si>
    <t>Ferver metade da quantidade da água. Adicionar a carteira de gelatina e dissolver o conteúdo. Adicionar a restante quantidade de água fria. Deixar arrefecer e, posteriormente, colocar a gelatina no frigorífico. Dispor pedaços pequenos de abacaxi, laranja e morango, previamente lavados, descascados e cortados, por cima da gelatina.</t>
  </si>
  <si>
    <t>F.T.SOB 2</t>
  </si>
  <si>
    <t>F.T.SOB 3</t>
  </si>
  <si>
    <t>F.T.SOB 4</t>
  </si>
  <si>
    <t>Maçã/Pera</t>
  </si>
  <si>
    <t>Canela</t>
  </si>
  <si>
    <t>Lavar e retirar a parte central (caroço e sementes) da fruta. Colocar a fruta num tabuleiro, polvilhar com canela e regar com um pouco de água. Levar ao forno até assar.</t>
  </si>
  <si>
    <t>Raspa de limão</t>
  </si>
  <si>
    <t>Descascar e lavar a fruta sem lhe retirar o cabo. Levar a cozer em água a ferver com raspas de limão ou colocar em tabuleiro perfurado e levar ao forno convetor a cozer a vapor, polvilhado com raspas de limão. Polvilhar a gosto com canela antes de consumir.</t>
  </si>
  <si>
    <t xml:space="preserve">Fruta </t>
  </si>
  <si>
    <t>Kiwi</t>
  </si>
  <si>
    <t>Morangos/Cereja</t>
  </si>
  <si>
    <t>Pêssego/Nectarina</t>
  </si>
  <si>
    <t>Maçã/Pera/Clementina/</t>
  </si>
  <si>
    <t>Tangerina/</t>
  </si>
  <si>
    <t>Uva/Laranja/Ananás/</t>
  </si>
  <si>
    <t>Alperce/Damasco/</t>
  </si>
  <si>
    <t>Ameixa/Nêspera</t>
  </si>
  <si>
    <t>Melão</t>
  </si>
  <si>
    <t>Meloa</t>
  </si>
  <si>
    <t>Melancia</t>
  </si>
  <si>
    <t>180g</t>
  </si>
  <si>
    <t>Lavar e desinfetar segundo as recomendações do manual de qualidade. Colocar a fruta em frio devidamente acondicionado e/ou colocar individualmente em taças e expor na linha de self, num horário o mais próximo possível da hora de servir.</t>
  </si>
  <si>
    <t>Fruta assada (Maçã/Pera)</t>
  </si>
  <si>
    <t>Fruta cozida (Maçã/Pera)</t>
  </si>
  <si>
    <t>F.T.SLD</t>
  </si>
  <si>
    <t>Beterraba/ Pepino/ Tomate/ Alface/ Couve-roxa/ Milho/ Cenoura/ Couve em juliana/ Pimento/ Couve-de-bruxelas/ Curgete</t>
  </si>
  <si>
    <t>Beterraba/ Pepino/ Tomate</t>
  </si>
  <si>
    <t>Alface/ Couve-roxa/ Milho</t>
  </si>
  <si>
    <t>Cenoura/ Couve em juliana</t>
  </si>
  <si>
    <t>Pimento/ Couve-de-bruxelas/ Curgete</t>
  </si>
  <si>
    <t>40g/35g/50g</t>
  </si>
  <si>
    <t>40g/30g/45g</t>
  </si>
  <si>
    <t>50g/80g</t>
  </si>
  <si>
    <t xml:space="preserve"> 25g/40g/40g</t>
  </si>
  <si>
    <t>Preparar, lavar e desinfetar o vegetal segundo as indicações do Manual da Qualidade e da ficha técnica do produto a utilizar.</t>
  </si>
  <si>
    <t>Salada</t>
  </si>
  <si>
    <t>Couve em juliana, pepino e tomate</t>
  </si>
  <si>
    <t>Feijão vermelho com couve lombarda</t>
  </si>
  <si>
    <t>11 a 15 de setembro</t>
  </si>
  <si>
    <t>18 a 22 de setembro</t>
  </si>
  <si>
    <t>25 a 29 de setembro</t>
  </si>
  <si>
    <t>9 a 13 de outubro</t>
  </si>
  <si>
    <t>16 a 20 de outubro</t>
  </si>
  <si>
    <t>23 a 27 de outubro</t>
  </si>
  <si>
    <t>30 de outubro a 3 de novembro</t>
  </si>
  <si>
    <t>6 a 10 de novembro</t>
  </si>
  <si>
    <t>13 a 17 de novembro</t>
  </si>
  <si>
    <t>20 a 24 de novembro</t>
  </si>
  <si>
    <t>27 de novembro a 1 de dezembro</t>
  </si>
  <si>
    <t>Semana 13</t>
  </si>
  <si>
    <t xml:space="preserve"> 4 a 8 de dezembro </t>
  </si>
  <si>
    <t xml:space="preserve"> 11 a 15 de dezembro </t>
  </si>
  <si>
    <t>Semana 14</t>
  </si>
  <si>
    <t>2 a 6 de outubro</t>
  </si>
  <si>
    <t>FERIADO</t>
  </si>
  <si>
    <t>Empadão de legumes e lentilhas</t>
  </si>
  <si>
    <t>Estufado de cogumelos com tomate, feijão branco e arroz</t>
  </si>
  <si>
    <t>Salada de legumes (batata, ervilha, feijão verde e cenoura) com grão-de-bico</t>
  </si>
  <si>
    <t>Legumes salteados com broa e batata gratinada com salsa</t>
  </si>
  <si>
    <t>Legumes à bolonhesa com feijão branco e esparguete</t>
  </si>
  <si>
    <t>Salada de batata, brócolos e cenoura</t>
  </si>
  <si>
    <t>Feijão preto estufado com massa espiral e cenoura</t>
  </si>
  <si>
    <t>Arroz de lentilhas e feijão verde</t>
  </si>
  <si>
    <t>Ervilhas estufadas com cenoura e batata corada</t>
  </si>
  <si>
    <t>Salada de batata com grão-de-bico, couve lombarda e cenoura</t>
  </si>
  <si>
    <t>Lentilhas estufadas com cenoura, feijão verde e alho francês</t>
  </si>
  <si>
    <t>Feijoada vegetariana</t>
  </si>
  <si>
    <t>Salada de grão-de-bico com batata, cenoura e ervilha</t>
  </si>
  <si>
    <t>Salada de arroz (feijão frade e macedónia de legumes)</t>
  </si>
  <si>
    <t>Esparguete estufado com cenoura, cogumelos e ervilhas</t>
  </si>
  <si>
    <t>Chili vegetariano com arroz branco</t>
  </si>
  <si>
    <t>Estufado de cogumelos com tomate e arroz de milho</t>
  </si>
  <si>
    <t>Empadão de legumes (feijão verde e cenoura) com grão de bico</t>
  </si>
  <si>
    <t>Favas guisadas com cenoura, curgete e couve lombarda</t>
  </si>
  <si>
    <t>Esparguete com mistura de legumes chineses</t>
  </si>
  <si>
    <t>Estufado de grão-de-bico com legumes (couve branca e cenoura)</t>
  </si>
  <si>
    <t>Feijão estufado com cubinhos de cenoura e milho com arroz de tomate</t>
  </si>
  <si>
    <t>Massa guisada com grão-de-bico, feijão verde e tomate</t>
  </si>
  <si>
    <t>Jardineira de legumes (batata, cenoura e ervilhas)</t>
  </si>
  <si>
    <t>Lentilhas estufadas com salada russa (batata, ervilha, feijão verde e cenoura)</t>
  </si>
  <si>
    <t>Arroz de açafrão com ervilhas, rebentos de soja e cogumelos</t>
  </si>
  <si>
    <t>Empadão de legumes</t>
  </si>
  <si>
    <t>Salada de feijão frade (feijão frade, batata, cenoura e rebentos de soja)</t>
  </si>
  <si>
    <t>Esparguete vegetariano à Bolonhesa</t>
  </si>
  <si>
    <t>Favas estufadas com batata cozida</t>
  </si>
  <si>
    <t>Arroz de feijão frade, brócolos e alho francês</t>
  </si>
  <si>
    <t>Massa de favas com legumes (cenoura, couve e ervilhas)</t>
  </si>
  <si>
    <t>Cogumelos e curgete no forno com arroz de cenoura</t>
  </si>
  <si>
    <t>Couve estufada com lentilhas e batata cozida</t>
  </si>
  <si>
    <t>Grão-de-bico estufado com caril e batata</t>
  </si>
  <si>
    <t>Cogumelos estufados com arroz de cenoura e ervilhas</t>
  </si>
  <si>
    <t>Salada de verão ( feijão frade, batata cozida, macedónia de legumes e salsa)</t>
  </si>
  <si>
    <t>Rancho vegetariano</t>
  </si>
  <si>
    <t>Creme de vegetais</t>
  </si>
  <si>
    <t>Feijão branco com espinafres</t>
  </si>
  <si>
    <t>Estufado de cogumelos com massa macarronete e jardineira de legumes</t>
  </si>
  <si>
    <t>Cenoura com couve ripada</t>
  </si>
  <si>
    <t>Mistura de legumes chineses, ervilhas e milho com esparguete</t>
  </si>
  <si>
    <t>Esparguete vegetariano</t>
  </si>
  <si>
    <t>Couve roxa, pimento e tomate</t>
  </si>
  <si>
    <t>Grão-de-bico com cubinhos de cenora e nabo</t>
  </si>
  <si>
    <t>Feijão estufado com cubinhos de cenoura, feijão verde e batata cozida</t>
  </si>
  <si>
    <t>Grelos</t>
  </si>
  <si>
    <t xml:space="preserve">Cogumelos estufados com tomate, arroz de ervilhas e milho </t>
  </si>
  <si>
    <t>Creme de brócolos com feijão branco</t>
  </si>
  <si>
    <t>Caldo Verde</t>
  </si>
  <si>
    <t xml:space="preserve">Espinafres </t>
  </si>
  <si>
    <t>Grão-de-bico com couve lombarda</t>
  </si>
  <si>
    <t>Creme de abóbora e espinafres</t>
  </si>
  <si>
    <t>Grão-de-bico com espinafres</t>
  </si>
  <si>
    <t>Creme de couve flor</t>
  </si>
  <si>
    <t>Alface, pimento e milho</t>
  </si>
  <si>
    <t>Grão-de-bico com nabiças</t>
  </si>
  <si>
    <t>Alface,milho e pepino</t>
  </si>
  <si>
    <t xml:space="preserve">Creme de nabo e cenoura </t>
  </si>
  <si>
    <t xml:space="preserve">Nabiças </t>
  </si>
  <si>
    <t>Grão-de-bico com feijão-verde</t>
  </si>
  <si>
    <t>Milho, pimento e tomate</t>
  </si>
  <si>
    <t>Juliana de legumes</t>
  </si>
  <si>
    <t>Couve-roxa, cebola e tomate</t>
  </si>
  <si>
    <t>Alface, cebola e tomate</t>
  </si>
  <si>
    <t>Alface, cebola tomate</t>
  </si>
  <si>
    <t>Tomate, milho e pimento</t>
  </si>
  <si>
    <t>Arroz de cogumelos com ervilhas e cenoura</t>
  </si>
  <si>
    <t>Salada de feijão frade, batata, cenoura aos cubos e brócolos</t>
  </si>
  <si>
    <t>Massa espiral com legumes salteados</t>
  </si>
  <si>
    <t>Feijoada de cogumelos com arroz branco</t>
  </si>
  <si>
    <t>Mistura de vegetais estufados (cenoura, ervilha, feijão verde, couve-flor e aipo) com massa fusilli</t>
  </si>
  <si>
    <t>Lentilhas estufadas com ratatouille</t>
  </si>
  <si>
    <t>Grão-de-bico estufado com caril e massa fusilli</t>
  </si>
  <si>
    <t>Fichas Técnicas dos pratos vegetarianos</t>
  </si>
  <si>
    <t>F.T.VEG.1</t>
  </si>
  <si>
    <t>F.T.VEG.2</t>
  </si>
  <si>
    <t>F.T.VEG.3</t>
  </si>
  <si>
    <t>Massa macarronete com estufado de legumes chineses</t>
  </si>
  <si>
    <t>Estufado de cogumelos com massa espiral e jardineira de legumes</t>
  </si>
  <si>
    <t>Estufado de cogumelos com tomate e arroz branco</t>
  </si>
  <si>
    <t>DIETA VEGETARIANA-Lotes 3 e 4</t>
  </si>
  <si>
    <t>Açúcares
(g)</t>
  </si>
  <si>
    <t>Proteínas (g)</t>
  </si>
  <si>
    <t>319,7/346,8</t>
  </si>
  <si>
    <t>76,4/82,9</t>
  </si>
  <si>
    <t>0,5/0,8</t>
  </si>
  <si>
    <t>0,2/0,1</t>
  </si>
  <si>
    <t>16,9/19,4</t>
  </si>
  <si>
    <t>16,7/19,4</t>
  </si>
  <si>
    <t>1,1/0,4</t>
  </si>
  <si>
    <t>0/0</t>
  </si>
  <si>
    <t>Empadão de legumes (feijão verde e cenoura) com grão-debico</t>
  </si>
  <si>
    <t xml:space="preserve">Batata </t>
  </si>
  <si>
    <t xml:space="preserve">Leite de vaca UHT meio gordo </t>
  </si>
  <si>
    <t xml:space="preserve">Grão-de-bico </t>
  </si>
  <si>
    <t xml:space="preserve">Feijão verde </t>
  </si>
  <si>
    <t xml:space="preserve">Cenoura </t>
  </si>
  <si>
    <t xml:space="preserve">Sal </t>
  </si>
  <si>
    <t xml:space="preserve">De véspera demolhar o grão-de-bico. No dia cozer em água com sal. Descascar as batatas e cozer em água e sal. Após cozedura passar as batatas pelo passe-vite ou desfazê-las com as varas da varinha. Colocar a batata triturada num tacho ao lume e juntar o leite quente. Mexer sempre até obter uma consistência mole. Arranjar e cozer os legumes em água com sal. Num tabuleiro que possa ir ao forno colocar uma camada de puré, outra de outra de legumes e grão-de-bico e terminar com outra camada de puré. Levar ao forno.
</t>
  </si>
  <si>
    <t>45 ml</t>
  </si>
  <si>
    <t>0,1 g</t>
  </si>
  <si>
    <t>80 g</t>
  </si>
  <si>
    <t>50 g</t>
  </si>
  <si>
    <t>270 g</t>
  </si>
  <si>
    <t>Estufado de cogumelos e tomate</t>
  </si>
  <si>
    <t xml:space="preserve">Cebola </t>
  </si>
  <si>
    <t xml:space="preserve">Tomate </t>
  </si>
  <si>
    <t xml:space="preserve">Alho </t>
  </si>
  <si>
    <t xml:space="preserve">Azeite </t>
  </si>
  <si>
    <t xml:space="preserve">Cogumelos </t>
  </si>
  <si>
    <t xml:space="preserve">Orégãos </t>
  </si>
  <si>
    <t xml:space="preserve"> q.b.</t>
  </si>
  <si>
    <t>25 g</t>
  </si>
  <si>
    <t>35 g</t>
  </si>
  <si>
    <t>3 ml</t>
  </si>
  <si>
    <t xml:space="preserve">Aquecer a cebola, o tomate, o alho e azeite. Juntar os cogumelos e deixar cozinhar. No final temperar com orégãos.  </t>
  </si>
  <si>
    <t>Favas guisadas com legumes (curgete e tomate)</t>
  </si>
  <si>
    <t>De véspera demolhar as favas. No dia cozer as favas em água com sal. Aquecer a cebola, tomate, alho e azeite. Juntar a curgete previamente arranjada e deixar cozinhar um pouco. No final juntar as favas e deixar apurar.</t>
  </si>
  <si>
    <t xml:space="preserve">Favas </t>
  </si>
  <si>
    <t>Tomate pelado/triturado</t>
  </si>
  <si>
    <t xml:space="preserve">Curgete </t>
  </si>
  <si>
    <t>100 g</t>
  </si>
  <si>
    <t>10 g</t>
  </si>
  <si>
    <t>40 g</t>
  </si>
  <si>
    <t>F.T.VEG.4</t>
  </si>
  <si>
    <t xml:space="preserve">Tomate pelado/triturado </t>
  </si>
  <si>
    <t xml:space="preserve">Couve branca </t>
  </si>
  <si>
    <t>De véspera demolhar o grão-de-bico. No dia cozer o grão-de-bico em água com sal. Aquecer a cebola, tomate, alho e azeite. Juntar a couve e a cenoura previamente arranjadas e deixar cozinhar um pouco. No final juntar o grão-de-bico e deixar apurar.</t>
  </si>
  <si>
    <t>F.T.VEG.5</t>
  </si>
  <si>
    <t>Feijão estufado com cubinhos de cenoura e milho</t>
  </si>
  <si>
    <t xml:space="preserve">Feijão branco </t>
  </si>
  <si>
    <t xml:space="preserve">Milho </t>
  </si>
  <si>
    <t>De véspera demolhar o feijão. No dia cozer o feijão em água com sal. Aquecer a cebola, tomate, alho e azeite. Juntar a cenoura previamente arranjada e o milho e deixar cozinhar um pouco. No final juntar o feijão e deixar apurar.</t>
  </si>
  <si>
    <t>F.T.VEG.6</t>
  </si>
  <si>
    <t>De véspera demolhar o grão-de-bico. No dia cozer o grão-de-bico em água com sal. Cozer também a massa em água. Aquecer a cebola, tomate, alho e azeite. Juntar o feijão verde previamente arranjado e deixar cozinhar um pouco. No final juntar o grão-de-bico e a massa e deixar apurar.</t>
  </si>
  <si>
    <t>Jardineira de legumes (batata, cenoura, ervilhas e feijão verde)</t>
  </si>
  <si>
    <t xml:space="preserve">Pimento </t>
  </si>
  <si>
    <t xml:space="preserve">Picar a cebola e o alho. Lavar e cortar aos cubos as batatas.
Estufar a cebola, o alho, o azeite e o tomate. Adicionar água
e quando esta estiver a ferver adicionar as batatas e mais
tarde os legumes previamente cozidos, de preferência a
vapor, bem como o grão-de-bico.
</t>
  </si>
  <si>
    <t>F.T.VEG.7</t>
  </si>
  <si>
    <t>F.T.VEG.8</t>
  </si>
  <si>
    <t>Lentilhas estufadas</t>
  </si>
  <si>
    <t xml:space="preserve">Lentilhas </t>
  </si>
  <si>
    <t xml:space="preserve">De véspera demolhar as lentilhas. No dia cozer as lentilhas
em água com sal. Aquecer a cebola, tomate, azeite e alho.
Juntar as lentilhas e deixar apurar.
</t>
  </si>
  <si>
    <t>F.T.VEG.9</t>
  </si>
  <si>
    <t>Esparguete de feijão frade com cogumelos</t>
  </si>
  <si>
    <t xml:space="preserve">Feijão frade </t>
  </si>
  <si>
    <t xml:space="preserve">Esparguete </t>
  </si>
  <si>
    <t xml:space="preserve">De véspera demolhar o feijão frade. No dia cozer o feijão
em água com sal. Saltear os cogumelos em azeite e alho.
Cozer a massa esparguete em água com sal. No final
misturar a massa esparguete, o feijão e os cogumelos.
</t>
  </si>
  <si>
    <t>F.T.VEG.10</t>
  </si>
  <si>
    <t xml:space="preserve"> </t>
  </si>
  <si>
    <t>Descascar as batatas e cozer em água e sal. Após cozedura passar as batatas pelo passe-vite ou desfazê-las com as passar as batatas pelo passe-vite ou desfazê-las com as varas da varinha. Colocar a batata triturada num tacho ao lume e juntar o leite quente. Mexer sempre até obter uma consistência mole. Arranjar e cozer os legumes em água com sal. Num tabuleiro que possa ir ao forno colocar uma camada de puré, outra de legumes e terminar com outra camada de puré. Levar ao forno.</t>
  </si>
  <si>
    <t>F.T.VEG.11</t>
  </si>
  <si>
    <t>Arroz de açafrão com ervilhas e milho</t>
  </si>
  <si>
    <t xml:space="preserve">Arroz </t>
  </si>
  <si>
    <t xml:space="preserve">Ervilhas </t>
  </si>
  <si>
    <t xml:space="preserve">Açafrão </t>
  </si>
  <si>
    <t>Estufar a cebola, o açafrão e o alho em azeite. Adicionar as ervilhas e o milho. Posteriormente juntar a água e quando estiver a ferver, adicionar o arroz. No final retificar o tempero.</t>
  </si>
  <si>
    <t>F.T.VEG.12</t>
  </si>
  <si>
    <t>Salada de legumes (batata, ervilha, feijão verde e cenoura)</t>
  </si>
  <si>
    <t>Descascar e cortar as batatas em cubos e cozer em água e sal ou em tabuleiro perfurado a vapor. Cozer também as cenouras, o feijão-verde e as ervilhas em água e sal ou em tabuleiro perfurado a vapor.</t>
  </si>
  <si>
    <t>F.T.VEG.13</t>
  </si>
  <si>
    <t>Legumes salteados com broa</t>
  </si>
  <si>
    <t xml:space="preserve">Couve </t>
  </si>
  <si>
    <t xml:space="preserve">Broa </t>
  </si>
  <si>
    <t xml:space="preserve">Salsa </t>
  </si>
  <si>
    <t>Levar água num tacho ao lume até ferver. Posteriormente adicionar os legumes e o milho e adicionar parte do sal e deixar cozer. No final retifique os temperos OU Levar os legumes em tabuleiro perfurado ao forno convetor e colocar no módulo de cozedura a vapor, sem adicionar sal. Deixar cozer. Num tacho à parte colocar cebola, alho e os respetivos legumes, adicionar o azeite e levar a estufar. De seguida colocar os legumes num tabuleiro e polvilhar com broa triturada envolvida em salsa picada e azeite e levar ao forno.</t>
  </si>
  <si>
    <t>F.T.VEG.14</t>
  </si>
  <si>
    <t>Feijoada de cogumelos</t>
  </si>
  <si>
    <t xml:space="preserve">Couve coração </t>
  </si>
  <si>
    <t xml:space="preserve">Feijão manteiga </t>
  </si>
  <si>
    <t>Numa caçarola com um fio de azeite refogue o alho e a cebola até esta ficar translúcida. Junte o tomate, a cenoura e deixe cozinhar cerca de 5 minutos. Acrescente a couve e os cogumelos e salteie até ficarem tenros. Adicione o feijão e a água e tempere com sal. Deixe ferver durante alguns minutos para os sabores se cruzarem.</t>
  </si>
  <si>
    <t>F.T.VEG.15</t>
  </si>
  <si>
    <t>Legumes à bolonhesa com feijão branco</t>
  </si>
  <si>
    <t xml:space="preserve">Rebentos de soja </t>
  </si>
  <si>
    <t>Louro</t>
  </si>
  <si>
    <t>De véspera demolhar o feijão. No dia cozer em água com sal. Cozer o esparguete em água e sal. Fazer o refogado com o azeite e a cebola e adicionar o tomate, as ervilhas, o louro, o pimento, cortado aos cubos e os cogumelos. Adicionar os rebentos de soja e deixar cozinhar em lume brando. Adicione o preparado ao esparguete e ao feijão e sirva.</t>
  </si>
  <si>
    <t>F.T.VEG.16</t>
  </si>
  <si>
    <t>Rebentos de soja</t>
  </si>
  <si>
    <t>Estufar a cebola, o açafrão e o alho em azeite. Adicionar as ervilhas e o milho. Posteriormente juntar a água e quando estiver a ferver, adicionar o arroz. No final retificar o tempero. ervilhas, os rebentos de soja e os cogumelos. Posteriormente juntar a água e quando estiver a ferver, adicionar o arroz. No final retificar o tempero.</t>
  </si>
  <si>
    <t>F.T.VEG.17</t>
  </si>
  <si>
    <t>Arroz de lentilhas e cenoura</t>
  </si>
  <si>
    <t>De véspera demolhar as lentilhas. No dia cozer as lentilhas em água com sal. Estufar a cebola, o alho e o tomate em azeite. Adicionar as lentilhas e a cenoura cortada em cubinhos. Adicionar a água de cozer as lentilhas. Após fervura adicionar o arroz e salsa.</t>
  </si>
  <si>
    <t>F.T.VEG.18</t>
  </si>
  <si>
    <t>Lentilhas</t>
  </si>
  <si>
    <t>F.T.VEG.19</t>
  </si>
  <si>
    <t>Feijão frade</t>
  </si>
  <si>
    <r>
      <t>De véspera demolhar o feijão. No dia cozer o feijão em água</t>
    </r>
    <r>
      <rPr>
        <sz val="10"/>
        <rFont val="Arial"/>
        <family val="2"/>
      </rPr>
      <t xml:space="preserve"> com sal. Estufar o alho francês e o tomate em azeite. Adicionar o feijão e os brócolos previamente arranjados. Adicionar água e temperar com sal. Após fervura adicionar o arroz e deixar cozer</t>
    </r>
    <r>
      <rPr>
        <sz val="8.5"/>
        <color rgb="FF00007F"/>
        <rFont val="Arial"/>
        <family val="2"/>
      </rPr>
      <t>.</t>
    </r>
  </si>
  <si>
    <t>F.T.VEG.20</t>
  </si>
  <si>
    <t>Arroz de açafrão com ervilhas, rebentos de soja e milho</t>
  </si>
  <si>
    <t>Açafrão</t>
  </si>
  <si>
    <r>
      <t xml:space="preserve">Estufar a cebola, o açafrão e o alho em azeite. Adicionar as </t>
    </r>
    <r>
      <rPr>
        <sz val="10"/>
        <rFont val="Arial"/>
        <family val="2"/>
      </rPr>
      <t>ervilhas, os rebentos de soja e o milho. Posteriormente juntar a água e quando estiver a ferver, adicionar o arroz. No final retificar o tempero.</t>
    </r>
  </si>
  <si>
    <t>F.T.VEG.21</t>
  </si>
  <si>
    <t>Arroz de lentilhas e feijão-verde</t>
  </si>
  <si>
    <t>Feijão verde</t>
  </si>
  <si>
    <r>
      <t>De véspera demolhar as lentilhas. No dia cozer as lentilhas</t>
    </r>
    <r>
      <rPr>
        <sz val="10"/>
        <rFont val="Arial"/>
        <family val="2"/>
      </rPr>
      <t xml:space="preserve"> em água com sal. Estufar a cebola, o alho e o tomate em azeite. Adicionar as lentilhas e o feijão verde cortado em tirinhas. Adicionar a água de cozer as lentilhas. Após fervura adicionar o arroz e salsa.</t>
    </r>
  </si>
  <si>
    <r>
      <t>Estufar a cebola e o alho em azeite. Adicionar as ervilhas,</t>
    </r>
    <r>
      <rPr>
        <sz val="10"/>
        <rFont val="Arial"/>
        <family val="2"/>
      </rPr>
      <t xml:space="preserve"> os cogumelos e as cenouras arranjadas e cortadas em cubinhos. Posteriormente juntar a água e quando estiver a ferver, adicionar o arroz. No final retificar o tempero.</t>
    </r>
  </si>
  <si>
    <t>F.T.VEG.22</t>
  </si>
  <si>
    <t>F.T.VEG.23</t>
  </si>
  <si>
    <r>
      <t>De véspera demolhar o grão-de-bico. No dia cozer o grão-de-bico em água com sal. Cozer a massa em água com sal. Fazer</t>
    </r>
    <r>
      <rPr>
        <sz val="10"/>
        <rFont val="Arial"/>
        <family val="2"/>
      </rPr>
      <t xml:space="preserve"> um refogado leve com azeite, a cebola, o alho, a salsa e o louro. Juntar o tomate e de seguida adicionar a couve lombarda, a cenoura, o alho francês, a curgete e a água necessária à cozedura. Posteriormente adicionar o macarronete, o grão-de-bico. Retifique o tempero e o líquido de cozedura.</t>
    </r>
  </si>
  <si>
    <t>Arroz malandrinho com feijão branco e tomate</t>
  </si>
  <si>
    <t>De véspera demolhar o feijão. No dia cozer o feijão em água com sal. Leve ao lume o azeite a cebola picada e o tomate aos cubos e deixe alourar ligeiramente, acrescente o arroz envolva, adicione a água (1 porção de arroz para 3 porções de água), acrescente o feijão, tempere de sal, e deixe cozinhar lentamente.</t>
  </si>
  <si>
    <t>F.T.VEG.24</t>
  </si>
  <si>
    <r>
      <t>Salada de verão (feijão frade, batata cozida, macedónia de</t>
    </r>
    <r>
      <rPr>
        <b/>
        <sz val="10"/>
        <rFont val="Arial"/>
        <family val="2"/>
      </rPr>
      <t xml:space="preserve"> legumes e salsa)</t>
    </r>
  </si>
  <si>
    <t>De véspera demolhar o feijão. No dia cozer o feijão em água com sal. Cozer as batatas, o feijão-verde, a cenoura e as ervilhas, de preferência a vapor.. De seguida misture o o feijão com os legumes, o tomate cortado ao meio, a cebola e a salsa.</t>
  </si>
  <si>
    <t>F.T.VEG.25</t>
  </si>
  <si>
    <t>Tagliatelle de legumes com molho de tomate</t>
  </si>
  <si>
    <t>Tagliatelli</t>
  </si>
  <si>
    <t>Couve-flôr</t>
  </si>
  <si>
    <r>
      <t>Cozer o tagliatelli com um fio de azeite e uma pitada de sal.</t>
    </r>
    <r>
      <rPr>
        <sz val="8.5"/>
        <rFont val="Arial"/>
        <family val="2"/>
      </rPr>
      <t xml:space="preserve"> </t>
    </r>
    <r>
      <rPr>
        <sz val="10"/>
        <rFont val="Arial"/>
        <family val="2"/>
      </rPr>
      <t>Picar a cebola e o alho e colocar numa panela juntamente com os tomates, o sal, os orégãos, o tomilho e deixar cozer até começar a ferver. Nessa altura, com a varinha mágica, moer o preparado até ficar homogéneo. Arranjar e cozer os legumes em água com sal. No fim, misturar os legumes com a massa e colocar o molho de tomate sobre o tagliatelli. Servir de imediato.</t>
    </r>
  </si>
  <si>
    <t>F.T.VEG.26</t>
  </si>
  <si>
    <t>Misto de três legumes (feijão verde, couve-flor e brócolos)</t>
  </si>
  <si>
    <t>Arranjar os legumes e cozer em água com sal. Aquecer cebola, alho e azeite. Juntar os legumes e deixar cozinhar.</t>
  </si>
  <si>
    <t>F.T.VEG.27</t>
  </si>
  <si>
    <t>Massa espiral</t>
  </si>
  <si>
    <t>Arranjar os legumes e cozer em água com sal. No final saltear em azeite. À parte cozer a massa em água com sal.</t>
  </si>
  <si>
    <t>F.T.VEG.28</t>
  </si>
  <si>
    <t>De véspera demolhar o feijão. No dia cozer o feijão em água com sal. Arranjar as batatas e as cenouras e cozer em água com sal juntamente com os rebentos de soja. No final misturar o feijão frade com as batatas, as cenouras e os rebentos de soja.</t>
  </si>
  <si>
    <r>
      <t>Salada de feijão frade (feijão frade, batata, cenoura e</t>
    </r>
    <r>
      <rPr>
        <b/>
        <sz val="10.5"/>
        <rFont val="Arial"/>
        <family val="2"/>
      </rPr>
      <t xml:space="preserve"> </t>
    </r>
    <r>
      <rPr>
        <b/>
        <sz val="10"/>
        <rFont val="Arial"/>
        <family val="2"/>
      </rPr>
      <t>rebentos de soja)</t>
    </r>
  </si>
  <si>
    <t>F.T.VEG.29</t>
  </si>
  <si>
    <t>Favas estufadas</t>
  </si>
  <si>
    <t>Favas</t>
  </si>
  <si>
    <r>
      <t>De véspera demolhar as favas. No dia cozer as favas em</t>
    </r>
    <r>
      <rPr>
        <sz val="8.5"/>
        <rFont val="Arial"/>
        <family val="2"/>
      </rPr>
      <t xml:space="preserve"> </t>
    </r>
    <r>
      <rPr>
        <sz val="10"/>
        <rFont val="Arial"/>
        <family val="2"/>
      </rPr>
      <t>água com sal. Aquecer a cebola e azeite. Juntar as favas e deixar cozinhar.</t>
    </r>
  </si>
  <si>
    <t>F.T.VEG.30</t>
  </si>
  <si>
    <t>Couve</t>
  </si>
  <si>
    <t>De véspera demolhar as favas. No dia cozer as favas em água com sal. Cozer a massa em água com sal. Arranjar a cenoura, a couve e cozer em água com sal juntamente com as ervilhas. Misturar as favas com os legumes e a massa.</t>
  </si>
  <si>
    <t>F.T.VEG.31</t>
  </si>
  <si>
    <t>Cogumelos e curgete no forno</t>
  </si>
  <si>
    <t>Arranjar os cogumelos e a curgete e colocar num tabuleiro que possa ir ao forno. Juntar cebola em rodelas e azeite, temperar com sal e orégãos e levar a assar.</t>
  </si>
  <si>
    <t>F.T.VEG.32</t>
  </si>
  <si>
    <t>Aipo</t>
  </si>
  <si>
    <t>Arranjar a cenoura, as ervilhas, o feijão verde, a couve-flôr e o aipo. Numa panela colocar cebola, alho, tomate e azeite. Juntar os legumes, temperar com orégãos e deixar estufar.</t>
  </si>
  <si>
    <r>
      <t>Mistura de vegetais estufados (cenoura, ervilha, feijão</t>
    </r>
    <r>
      <rPr>
        <sz val="10"/>
        <rFont val="Trebuchet MS"/>
        <family val="2"/>
      </rPr>
      <t xml:space="preserve"> </t>
    </r>
    <r>
      <rPr>
        <b/>
        <sz val="10"/>
        <rFont val="Trebuchet MS"/>
        <family val="2"/>
      </rPr>
      <t>verde, couve-flôr e aipo)</t>
    </r>
  </si>
  <si>
    <t>F.T.VEG.33</t>
  </si>
  <si>
    <t>Grão-de-bico estufado/Grão-de-bico estufado com caril</t>
  </si>
  <si>
    <t>Caril</t>
  </si>
  <si>
    <t>De véspera demolhar o grão-de-bico. No dia cozer o grão-de-bico em água com sal. Aquecer a cebola e azeite. Juntar o grão-de-bico e deixar cozinhar. Para o grão-de-bico estufado com caril, juntar o caril quando se aquece a cebola e azeite.</t>
  </si>
  <si>
    <t>F.T.VEG.34</t>
  </si>
  <si>
    <t>De véspera demolhar as lentilhas. No dia cozer as lentilhas em água com sal. Aquecer a cebola, alho e azeite. Juntar a couve e deixar estufar. Perto do final da confeccção adicionar as lentilhas e deixar apurar.</t>
  </si>
  <si>
    <t>Couve estufada com lentilhas</t>
  </si>
  <si>
    <t>F.T.VEG.35</t>
  </si>
  <si>
    <t>Aquecer a cebola, alho e azeite. Juntar os cogumelos e deixar estufar.</t>
  </si>
  <si>
    <t>Cogumelos estufados/Guisado de cogumelos</t>
  </si>
  <si>
    <t>F.T.VEG.36</t>
  </si>
  <si>
    <t>Estufado de couve e cenoura</t>
  </si>
  <si>
    <t>Aquecer a cebola, alho e azeite. Arranjar a couve e a cenoura e juntar à cebola. Temperar com sal e deixar cozinhar.</t>
  </si>
  <si>
    <t>F.T.VEG.37</t>
  </si>
  <si>
    <t>Cogumelos estufados com tomate</t>
  </si>
  <si>
    <t>Aquecer a cebola, alho, o tomate e azeite. Juntar os cogumelos e deixar estufar.</t>
  </si>
  <si>
    <t>F.T.VEG.38</t>
  </si>
  <si>
    <t>Estufado de cogumelos com tomate e feijão branco</t>
  </si>
  <si>
    <t>De véspera demolhar o feijão. No dia cozer o feijão em água com sal. Aquecer a cebola, alho, o tomate e azeite. Juntar os cogumelos e deixar estufar. No final misturar o feijão com os cogumelos.</t>
  </si>
  <si>
    <t>F.T.VEG.39</t>
  </si>
  <si>
    <t>Feijão estufado com cubinhos de cenoura e feijão verde</t>
  </si>
  <si>
    <t>De véspera demolhar o feijão. No dia cozer o feijão em água com sal. Aquecer a cebola e azeite. Juntar a cenoura e o feijão verde previamente arranjados e deixar cozinhar. No final juntar o feijão e deixar apurar.</t>
  </si>
  <si>
    <t>F.T.VEG.40</t>
  </si>
  <si>
    <t>De véspera demolhar as lentilhas. No dia cozer em água com sa. Descascar as batatas e cozer em água e sal. Após cozedura passar as batatas pelo passe-vite ou desfazê-las com as varas da varinha. Colocar a batata triturada num tacho ao lume e juntar o leite quente. Mexer sempre até obter uma consistência mole. Arranjar e cozer os legumes em água com sal. Num tabuleiro que possa ir ao forno colocar uma camada de puré, outra de legumes e as lentilhas e terminar com outra camada de puré. Levar ao forno.</t>
  </si>
  <si>
    <t>F.T.VEG.41</t>
  </si>
  <si>
    <t>Arranjar e cozer em água com sal as batatas, os brócolos e a cenoura. No final misturar os ingredientes.</t>
  </si>
  <si>
    <t>F.T.VEG.42</t>
  </si>
  <si>
    <t>Feijão preto</t>
  </si>
  <si>
    <t>De véspera demolhar o feijão. No dia cozer o feijão em água com sal. Cozer a massa em água com sal. Aquecer cebola, alho, tomate e azeite. Juntar a cenoura previamente arranjada em cubinhos e deixar cozinhar. Adicionar o feijão e deixar apurar. Acompanhar com a massa espiral cozida.</t>
  </si>
  <si>
    <t>F.T.VEG.43</t>
  </si>
  <si>
    <t>Ervilhas estufadas com cenoura</t>
  </si>
  <si>
    <t>Aquecer cebola, alho, tomate e azeite. Juntar a cenoura previamente arranjada em cubinhos e as ervilhas e deixar cozinhar. Temperar com salsa.</t>
  </si>
  <si>
    <t>F.T.VEG.44</t>
  </si>
  <si>
    <t>De véspera demolhar o grão-de-bico. No dia cozer o grão-de-bico em água com sal. Arranjar a batata e cozer em água  com sal. Arranjar a couve e a cenoura e cozer em água com sal. No final misturar a batata com o grão-de-bico e os legumes.</t>
  </si>
  <si>
    <t>F.T.VEG.45</t>
  </si>
  <si>
    <t>De véspera demolhar o feijão. No dia cozer o feijão em água com sal. Arranjar a batata, a cenoura e os brócolos e cozer em água com sal. No final misturar a batata com os legumes e o feijão.</t>
  </si>
  <si>
    <t>Favas guisadas com cenoura, curguete e couve lombarda</t>
  </si>
  <si>
    <t>F.T.VEG.46</t>
  </si>
  <si>
    <t>De véspera demolhar as favas. No dia cozer as favas em água com sal. Aquecer a cebola, tomate, alho e azeite. Juntar a curgete, a cenoura e a couve previamente arranjadas e deixar cozinhar um pouco. No final juntar as favas e deixar apurar.</t>
  </si>
  <si>
    <t>F.T.VEG.47</t>
  </si>
  <si>
    <t>Esparguete</t>
  </si>
  <si>
    <t>F.T.VEG.48</t>
  </si>
  <si>
    <t>De véspera demolhar o grão-de-bico. No dia cozer o grão-de-bico em água com sal. Arranjar as batatas e as cenouras e cozer em água com sal juntamente com as ervilhas. No final misturar o grão-de-bico com as batatas, as cenouras e as ervilhas.</t>
  </si>
  <si>
    <t>F.T.VEG.49</t>
  </si>
  <si>
    <t>Picar o alho e a cebola e estufar em azeite. Adicionar água ao preparado. Após fervura acrescentar o arroz. No final retificar o tempero. De véspera demolhar o feijão. No dia cozer o feijão em água com sal. Cozer a macedónia em água com sal. No final misturar o feijão e a macedónia com o arroz.</t>
  </si>
  <si>
    <t>F.T.VEG.50</t>
  </si>
  <si>
    <t>Salada de grão-de-bico, broa e couve</t>
  </si>
  <si>
    <t>Broa</t>
  </si>
  <si>
    <t>De véspera demolhar o grão-de-bico. No dia cozer o grão-de-bico em água com sal. Aquecer cebola, alho e azeite. Juntar a couve e deixar cozinhar. Misturar o grão-de-bico com a couve, por cima colocar a broa triturada, um fio de azeite e levar ao forno para tostar.</t>
  </si>
  <si>
    <t>F.T.VEG.51</t>
  </si>
  <si>
    <t>Massa (fusilli ou espiral ou esparguete)</t>
  </si>
  <si>
    <t>Ervilha</t>
  </si>
  <si>
    <t>Cozer a massa em água com sal. Aquecer a cebola, alho, tomate e azeite. Juntar os legumes previamente arranjados e deixar cozinhar. No final juntar a massa e deixar apurar.</t>
  </si>
  <si>
    <r>
      <t>Massa de vegetais/Massa fusilli vegetariana/Esparguete</t>
    </r>
    <r>
      <rPr>
        <sz val="10.5"/>
        <rFont val="Arial"/>
        <family val="2"/>
      </rPr>
      <t xml:space="preserve"> </t>
    </r>
    <r>
      <rPr>
        <b/>
        <sz val="10"/>
        <rFont val="Arial"/>
        <family val="2"/>
      </rPr>
      <t>vegetariano</t>
    </r>
  </si>
  <si>
    <t>F.T.VEG.52</t>
  </si>
  <si>
    <t>Massa Quatro Estações</t>
  </si>
  <si>
    <t>Pimento</t>
  </si>
  <si>
    <t>F.T.VEG.53</t>
  </si>
  <si>
    <t>Ratatouille</t>
  </si>
  <si>
    <t>De véspera demolhar as lentilhas. No dia cozer as lentilhas em água com sal. Aquecer a cebola, alho e azeite. Juntar os legumes do ratatouille e deixar cozinhar. No final acrescentar as lentilhas e deixar apurar.</t>
  </si>
  <si>
    <r>
      <t>Lentilhas estufadas com ratatouille (tomate, curgete,</t>
    </r>
    <r>
      <rPr>
        <sz val="10.5"/>
        <rFont val="Arial"/>
        <family val="2"/>
      </rPr>
      <t xml:space="preserve"> </t>
    </r>
    <r>
      <rPr>
        <b/>
        <sz val="10"/>
        <rFont val="Trebuchet MS"/>
        <family val="2"/>
      </rPr>
      <t>beringela, cebola, pimento verde, pimento vermelho)</t>
    </r>
  </si>
  <si>
    <t>F.T.VEG.54</t>
  </si>
  <si>
    <t>Legumes chineses</t>
  </si>
  <si>
    <t>Cozer a esparguete em água com sal. Aquecer a cebola, alho e azeite. Juntar os legumes chineses e deixar cozinhar. No final misturar a esparguete com os legumes.</t>
  </si>
  <si>
    <r>
      <t>Esparguete com mistura de legumes chineses (couve branca, bambu fatia</t>
    </r>
    <r>
      <rPr>
        <sz val="10"/>
        <rFont val="Trebuchet MS"/>
        <family val="2"/>
      </rPr>
      <t>do,</t>
    </r>
    <r>
      <rPr>
        <sz val="8.5"/>
        <rFont val="Arial"/>
        <family val="2"/>
      </rPr>
      <t xml:space="preserve"> </t>
    </r>
    <r>
      <rPr>
        <b/>
        <sz val="10"/>
        <rFont val="Trebuchet MS"/>
        <family val="2"/>
      </rPr>
      <t>cogumelos pretos, alho francês, pimento verde, pimento vermelho, cebola, ervilha de quebrar)</t>
    </r>
  </si>
  <si>
    <t>F.T.VEG.55</t>
  </si>
  <si>
    <t>Mistura de legumes chineses (couve branca, bambu fatiado, cogumelos pretos, alho francês, pimento verde, pimento vermelho, cebola, ervilha de quebrar) e ervilhas</t>
  </si>
  <si>
    <t>Aquecer a cebola, alho e azeite. Juntar os legumes chineses e as ervilhas e deixar cozinhar.</t>
  </si>
  <si>
    <t>0,1g</t>
  </si>
  <si>
    <t>100g</t>
  </si>
  <si>
    <t>F.T.S.36</t>
  </si>
  <si>
    <t>Creme de nabo e cenoura</t>
  </si>
  <si>
    <t>Lavar, descascar e cortar as batatas e os legumes e cozer em água. Depois de cozido, triturar todo o preparado. Retificar a temperatura e no final da cozedura, juntar o azeite.</t>
  </si>
  <si>
    <t>F.T.S.37</t>
  </si>
  <si>
    <t>Sopa de nabiças</t>
  </si>
  <si>
    <t>Lavar, descascar e cortar os ingredientes e levar a cozer a batata, a cebola, o alho e a cenoura. Após cozedura, triturar o preparado e adicionar as nabiças cortadas em juliana e deixar cozer. Antes do final da cozedura retificar o tempero e no final adicionar o azeite.</t>
  </si>
  <si>
    <t>F.T.S.39</t>
  </si>
  <si>
    <t>F.T.S.40</t>
  </si>
  <si>
    <t>Sopa de grão-de-bico com cubinhos de cenoura e nabo</t>
  </si>
  <si>
    <t>De véspera demolhar o grão. No dia, descascar, lavar e cortar em pedaços a batata, a cebola e o alho. Levar os ingredientes a cozer. Após cozedura, triturar os legumes e metade do grão-de-bico anteriormente cozido. Adicionar a cenoura e o nabo cortados em cubinhos e deixar cozer. Antes do final adicionar o restante grão-de-bico, retificar o tempero e no final adicionar o azeite.</t>
  </si>
  <si>
    <t>F.T.S.41</t>
  </si>
  <si>
    <t>Sopa de grelos</t>
  </si>
  <si>
    <t>Lavar, descascar e cortar os ingredientes e levar a cozer a batata, a cebola, o alho, a cenoura e a abóbora. Após cozedura, triturar o preparado, adicionar os grêlos previamente arranjados e deixar cozer. Antes do final da cozedura retificar o tempero e no final adicionar o azeite.</t>
  </si>
  <si>
    <t>Grêlos</t>
  </si>
  <si>
    <t>F.T.S.42</t>
  </si>
  <si>
    <t>De véspera, demolhar feijão. No dia, lavar, descascar e cortar os ingredientes e levar a cozer a batata, a cebola, os brócolos, o alho e a cenoura. À parte cozer o feijão. Após cozedura, triturar os legumes e metade do feijão anteriormente cozido. Antes do final, adicionar o restante feijão, retificar o tempero e no final adicionar o azeite.</t>
  </si>
  <si>
    <t>F.T.S.43</t>
  </si>
  <si>
    <t>Sopa de espinafres</t>
  </si>
  <si>
    <t>F.T.S.44</t>
  </si>
  <si>
    <t>Descascar, lavar e cortar a abóbora, os nabos, a curgete, as cenouras, as cebolas e os alhos e cozer em água. Posteriormente triturar os legumes e adicionar os espinafres previamente arranjados. No fim retificar os temperos e juntar o azeite no final da cozedura.</t>
  </si>
  <si>
    <t>F.T.VEG.56</t>
  </si>
  <si>
    <r>
      <t>Cozer o esparguete em água com sal. Aquecer cebola, alho e</t>
    </r>
    <r>
      <rPr>
        <sz val="8.5"/>
        <rFont val="Arial"/>
        <family val="2"/>
      </rPr>
      <t xml:space="preserve"> </t>
    </r>
    <r>
      <rPr>
        <sz val="10"/>
        <rFont val="Trebuchet MS"/>
        <family val="2"/>
      </rPr>
      <t>azeite. Juntar os cogumelos e deixar cozinhar um pouco. Adicionar a cenoura previamente arranjada e raspada e as ervilhas e deixar cozinhar. No final juntar o esparguete.</t>
    </r>
  </si>
  <si>
    <t>Salada de batata, curgete, brócolos, cenoura e ervilhas</t>
  </si>
  <si>
    <t>Feijão-verde com lombarda</t>
  </si>
  <si>
    <t>Sopa de cenoura com couve ripada</t>
  </si>
  <si>
    <t xml:space="preserve">Descascar, lavar e cortar em pedaços a batata, a cenoura, a cebola, o nabo e o alho. Colocar os ingredientes numa panela com água e deixar cozer. Após cozedura, triturar o preparado e adicionar a couve ripada. Antes do final da cozedura retificar o tempero </t>
  </si>
  <si>
    <t>Esparguete/macarronete</t>
  </si>
  <si>
    <t>80g/80g</t>
  </si>
  <si>
    <t>Falta FT ou é a da feijoada de cogumelos???</t>
  </si>
  <si>
    <t>Falta FT</t>
  </si>
  <si>
    <t>Falta FT ou é a da feijoada de cogumelos?</t>
  </si>
  <si>
    <t>0.1</t>
  </si>
</sst>
</file>

<file path=xl/styles.xml><?xml version="1.0" encoding="utf-8"?>
<styleSheet xmlns="http://schemas.openxmlformats.org/spreadsheetml/2006/main">
  <numFmts count="1">
    <numFmt numFmtId="164" formatCode="0.0"/>
  </numFmts>
  <fonts count="52">
    <font>
      <sz val="10"/>
      <name val="Arial"/>
    </font>
    <font>
      <b/>
      <sz val="12"/>
      <color indexed="50"/>
      <name val="Arial"/>
      <family val="2"/>
    </font>
    <font>
      <sz val="13"/>
      <name val="Arial"/>
      <family val="2"/>
    </font>
    <font>
      <b/>
      <sz val="13"/>
      <color indexed="9"/>
      <name val="Arial"/>
      <family val="2"/>
    </font>
    <font>
      <b/>
      <sz val="10"/>
      <color indexed="56"/>
      <name val="Arial"/>
      <family val="2"/>
    </font>
    <font>
      <sz val="10"/>
      <name val="Arial"/>
      <family val="2"/>
    </font>
    <font>
      <b/>
      <sz val="11"/>
      <name val="Century Gothic"/>
      <family val="2"/>
    </font>
    <font>
      <sz val="28"/>
      <color indexed="62"/>
      <name val="Bernard MT Condensed"/>
      <family val="1"/>
    </font>
    <font>
      <b/>
      <sz val="14"/>
      <color indexed="62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sz val="28"/>
      <color indexed="9"/>
      <name val="Bernard MT Condensed"/>
      <family val="1"/>
    </font>
    <font>
      <b/>
      <sz val="13"/>
      <name val="Trebuchet MS"/>
      <family val="2"/>
    </font>
    <font>
      <sz val="13"/>
      <color indexed="9"/>
      <name val="Trebuchet MS"/>
      <family val="2"/>
    </font>
    <font>
      <sz val="13"/>
      <name val="Trebuchet MS"/>
      <family val="2"/>
    </font>
    <font>
      <sz val="28"/>
      <color indexed="62"/>
      <name val="Trebuchet MS"/>
      <family val="2"/>
    </font>
    <font>
      <b/>
      <sz val="13"/>
      <color indexed="9"/>
      <name val="Trebuchet MS"/>
      <family val="2"/>
    </font>
    <font>
      <sz val="13"/>
      <color indexed="9"/>
      <name val="Trebuchet MS"/>
      <family val="2"/>
    </font>
    <font>
      <sz val="28"/>
      <color indexed="9"/>
      <name val="Trebuchet MS"/>
      <family val="2"/>
    </font>
    <font>
      <b/>
      <sz val="12"/>
      <color indexed="50"/>
      <name val="Trebuchet MS"/>
      <family val="2"/>
    </font>
    <font>
      <b/>
      <sz val="20"/>
      <color indexed="9"/>
      <name val="Trebuchet MS"/>
      <family val="2"/>
    </font>
    <font>
      <b/>
      <sz val="13"/>
      <color indexed="56"/>
      <name val="Trebuchet MS"/>
      <family val="2"/>
    </font>
    <font>
      <b/>
      <sz val="13"/>
      <color indexed="9"/>
      <name val="Trebuchet MS"/>
      <family val="2"/>
    </font>
    <font>
      <sz val="10"/>
      <name val="Trebuchet MS"/>
      <family val="2"/>
    </font>
    <font>
      <b/>
      <sz val="7"/>
      <color indexed="62"/>
      <name val="Trebuchet MS"/>
      <family val="2"/>
    </font>
    <font>
      <sz val="7"/>
      <name val="Arial Narrow"/>
      <family val="2"/>
    </font>
    <font>
      <sz val="7"/>
      <color indexed="56"/>
      <name val="Trebuchet MS"/>
      <family val="2"/>
    </font>
    <font>
      <b/>
      <sz val="8"/>
      <name val="Trebuchet MS"/>
      <family val="2"/>
    </font>
    <font>
      <sz val="13"/>
      <color indexed="10"/>
      <name val="Trebuchet MS"/>
      <family val="2"/>
    </font>
    <font>
      <b/>
      <sz val="13"/>
      <color indexed="10"/>
      <name val="Trebuchet MS"/>
      <family val="2"/>
    </font>
    <font>
      <sz val="13"/>
      <color indexed="10"/>
      <name val="Arial"/>
      <family val="2"/>
    </font>
    <font>
      <b/>
      <sz val="10"/>
      <name val="Trebuchet MS"/>
      <family val="2"/>
    </font>
    <font>
      <b/>
      <sz val="12"/>
      <color indexed="18"/>
      <name val="Trebuchet MS"/>
      <family val="2"/>
    </font>
    <font>
      <sz val="13"/>
      <color indexed="56"/>
      <name val="Trebuchet MS"/>
      <family val="2"/>
    </font>
    <font>
      <sz val="28"/>
      <color indexed="56"/>
      <name val="Trebuchet MS"/>
      <family val="2"/>
    </font>
    <font>
      <sz val="18"/>
      <color indexed="56"/>
      <name val="Trebuchet MS"/>
      <family val="2"/>
    </font>
    <font>
      <b/>
      <sz val="12"/>
      <color indexed="56"/>
      <name val="Trebuchet MS"/>
      <family val="2"/>
    </font>
    <font>
      <b/>
      <sz val="14"/>
      <color indexed="56"/>
      <name val="Trebuchet MS"/>
      <family val="2"/>
    </font>
    <font>
      <b/>
      <sz val="13"/>
      <color indexed="56"/>
      <name val="Trebuchet MS"/>
      <family val="2"/>
    </font>
    <font>
      <sz val="13"/>
      <color indexed="56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sz val="8.5"/>
      <color rgb="FF000080"/>
      <name val="TT169t00"/>
    </font>
    <font>
      <sz val="8.5"/>
      <color rgb="FF00007F"/>
      <name val="Arial"/>
      <family val="2"/>
    </font>
    <font>
      <sz val="8.5"/>
      <name val="Arial"/>
      <family val="2"/>
    </font>
    <font>
      <sz val="10.5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8.5"/>
      <color rgb="FF00007F"/>
      <name val="Comic Sans MS"/>
      <family val="4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 style="hair">
        <color indexed="30"/>
      </left>
      <right style="hair">
        <color indexed="30"/>
      </right>
      <top style="thick">
        <color indexed="30"/>
      </top>
      <bottom style="medium">
        <color indexed="30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/>
      <diagonal/>
    </border>
    <border>
      <left style="thick">
        <color indexed="9"/>
      </left>
      <right style="thick">
        <color indexed="9"/>
      </right>
      <top/>
      <bottom/>
      <diagonal/>
    </border>
    <border>
      <left/>
      <right style="thick">
        <color indexed="9"/>
      </right>
      <top/>
      <bottom/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/>
      <right style="thick">
        <color indexed="9"/>
      </right>
      <top style="thin">
        <color indexed="9"/>
      </top>
      <bottom style="thin">
        <color indexed="9"/>
      </bottom>
      <diagonal/>
    </border>
    <border>
      <left style="hair">
        <color indexed="30"/>
      </left>
      <right style="hair">
        <color indexed="30"/>
      </right>
      <top style="thick">
        <color indexed="30"/>
      </top>
      <bottom/>
      <diagonal/>
    </border>
    <border>
      <left/>
      <right/>
      <top style="thick">
        <color indexed="62"/>
      </top>
      <bottom/>
      <diagonal/>
    </border>
    <border>
      <left style="hair">
        <color indexed="30"/>
      </left>
      <right style="hair">
        <color indexed="30"/>
      </right>
      <top style="thick">
        <color indexed="30"/>
      </top>
      <bottom style="thick">
        <color indexed="30"/>
      </bottom>
      <diagonal/>
    </border>
    <border>
      <left style="hair">
        <color indexed="30"/>
      </left>
      <right style="hair">
        <color indexed="30"/>
      </right>
      <top/>
      <bottom/>
      <diagonal/>
    </border>
    <border>
      <left style="hair">
        <color indexed="30"/>
      </left>
      <right style="hair">
        <color indexed="30"/>
      </right>
      <top/>
      <bottom style="thick">
        <color indexed="30"/>
      </bottom>
      <diagonal/>
    </border>
    <border>
      <left/>
      <right style="thick">
        <color indexed="9"/>
      </right>
      <top style="thin">
        <color indexed="9"/>
      </top>
      <bottom/>
      <diagonal/>
    </border>
    <border>
      <left/>
      <right style="thick">
        <color indexed="9"/>
      </right>
      <top/>
      <bottom style="thin">
        <color indexed="9"/>
      </bottom>
      <diagonal/>
    </border>
    <border>
      <left style="thick">
        <color indexed="9"/>
      </left>
      <right style="thick">
        <color indexed="9"/>
      </right>
      <top style="thin">
        <color indexed="9"/>
      </top>
      <bottom style="thin">
        <color indexed="9"/>
      </bottom>
      <diagonal/>
    </border>
    <border>
      <left style="thick">
        <color indexed="9"/>
      </left>
      <right style="thick">
        <color indexed="9"/>
      </right>
      <top style="thin">
        <color indexed="9"/>
      </top>
      <bottom/>
      <diagonal/>
    </border>
    <border>
      <left style="thick">
        <color indexed="9"/>
      </left>
      <right style="thick">
        <color indexed="9"/>
      </right>
      <top/>
      <bottom style="thin">
        <color indexed="9"/>
      </bottom>
      <diagonal/>
    </border>
    <border>
      <left style="thick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/>
      <top style="thick">
        <color theme="3" tint="0.39994506668294322"/>
      </top>
      <bottom/>
      <diagonal/>
    </border>
    <border>
      <left/>
      <right/>
      <top style="thick">
        <color theme="3" tint="0.39991454817346722"/>
      </top>
      <bottom/>
      <diagonal/>
    </border>
    <border>
      <left/>
      <right/>
      <top/>
      <bottom style="thick">
        <color theme="3" tint="0.39994506668294322"/>
      </bottom>
      <diagonal/>
    </border>
  </borders>
  <cellStyleXfs count="3">
    <xf numFmtId="0" fontId="0" fillId="0" borderId="0"/>
    <xf numFmtId="0" fontId="44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201">
    <xf numFmtId="0" fontId="0" fillId="0" borderId="0" xfId="0"/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16" fontId="8" fillId="0" borderId="0" xfId="0" applyNumberFormat="1" applyFont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" fillId="0" borderId="0" xfId="0" applyFont="1" applyBorder="1" applyAlignment="1" applyProtection="1">
      <alignment vertical="center"/>
    </xf>
    <xf numFmtId="16" fontId="8" fillId="0" borderId="0" xfId="0" applyNumberFormat="1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0" fontId="13" fillId="2" borderId="0" xfId="1" applyFont="1" applyFill="1" applyBorder="1" applyAlignment="1" applyProtection="1">
      <alignment horizontal="center" vertical="center" shrinkToFit="1"/>
      <protection locked="0"/>
    </xf>
    <xf numFmtId="0" fontId="44" fillId="2" borderId="0" xfId="1" applyFill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18" fillId="0" borderId="0" xfId="0" applyFont="1" applyFill="1" applyAlignment="1">
      <alignment horizontal="center" vertical="center"/>
    </xf>
    <xf numFmtId="0" fontId="19" fillId="3" borderId="0" xfId="0" applyFont="1" applyFill="1" applyAlignment="1" applyProtection="1">
      <alignment vertical="center"/>
    </xf>
    <xf numFmtId="0" fontId="20" fillId="3" borderId="0" xfId="0" applyFont="1" applyFill="1" applyAlignment="1" applyProtection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Alignment="1" applyProtection="1">
      <alignment horizontal="right" vertical="center"/>
    </xf>
    <xf numFmtId="0" fontId="23" fillId="0" borderId="0" xfId="0" applyFont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16" fillId="0" borderId="0" xfId="0" applyFont="1" applyAlignment="1" applyProtection="1">
      <alignment vertical="center"/>
      <protection locked="0"/>
    </xf>
    <xf numFmtId="0" fontId="25" fillId="4" borderId="3" xfId="0" applyFont="1" applyFill="1" applyBorder="1" applyAlignment="1" applyProtection="1">
      <alignment vertical="center" shrinkToFit="1"/>
      <protection locked="0"/>
    </xf>
    <xf numFmtId="0" fontId="25" fillId="0" borderId="0" xfId="0" applyFont="1" applyFill="1" applyBorder="1" applyAlignment="1" applyProtection="1">
      <alignment vertical="center" shrinkToFit="1"/>
    </xf>
    <xf numFmtId="0" fontId="25" fillId="4" borderId="4" xfId="0" applyFont="1" applyFill="1" applyBorder="1" applyAlignment="1" applyProtection="1">
      <alignment vertical="center" shrinkToFit="1"/>
      <protection locked="0"/>
    </xf>
    <xf numFmtId="0" fontId="24" fillId="0" borderId="4" xfId="0" applyFont="1" applyFill="1" applyBorder="1" applyAlignment="1" applyProtection="1">
      <alignment horizontal="center" vertical="center" textRotation="90"/>
    </xf>
    <xf numFmtId="0" fontId="25" fillId="0" borderId="4" xfId="0" applyFont="1" applyFill="1" applyBorder="1" applyAlignment="1" applyProtection="1">
      <alignment vertical="center" shrinkToFit="1"/>
      <protection locked="0"/>
    </xf>
    <xf numFmtId="0" fontId="25" fillId="0" borderId="5" xfId="0" applyFont="1" applyFill="1" applyBorder="1" applyAlignment="1" applyProtection="1">
      <alignment vertical="center" shrinkToFit="1"/>
      <protection locked="0"/>
    </xf>
    <xf numFmtId="0" fontId="24" fillId="0" borderId="6" xfId="0" applyFont="1" applyFill="1" applyBorder="1" applyAlignment="1" applyProtection="1">
      <alignment horizontal="center" vertical="center" textRotation="90"/>
    </xf>
    <xf numFmtId="0" fontId="25" fillId="0" borderId="6" xfId="0" applyFont="1" applyFill="1" applyBorder="1" applyAlignment="1" applyProtection="1">
      <alignment vertical="center" shrinkToFit="1"/>
      <protection locked="0"/>
    </xf>
    <xf numFmtId="0" fontId="25" fillId="4" borderId="3" xfId="0" applyFont="1" applyFill="1" applyBorder="1" applyAlignment="1" applyProtection="1">
      <alignment vertical="center" shrinkToFit="1"/>
    </xf>
    <xf numFmtId="0" fontId="25" fillId="4" borderId="4" xfId="0" applyFont="1" applyFill="1" applyBorder="1" applyAlignment="1" applyProtection="1">
      <alignment vertical="center" shrinkToFit="1"/>
    </xf>
    <xf numFmtId="0" fontId="22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vertical="center"/>
      <protection locked="0"/>
    </xf>
    <xf numFmtId="16" fontId="27" fillId="0" borderId="0" xfId="0" applyNumberFormat="1" applyFont="1" applyAlignment="1" applyProtection="1">
      <alignment horizontal="center" vertical="center" wrapText="1"/>
      <protection locked="0"/>
    </xf>
    <xf numFmtId="0" fontId="29" fillId="2" borderId="7" xfId="2" applyFont="1" applyFill="1" applyBorder="1" applyAlignment="1" applyProtection="1">
      <alignment horizontal="center" vertical="center" wrapText="1" shrinkToFit="1"/>
      <protection locked="0"/>
    </xf>
    <xf numFmtId="0" fontId="44" fillId="2" borderId="0" xfId="1" quotePrefix="1" applyFill="1" applyBorder="1" applyAlignment="1" applyProtection="1">
      <alignment horizontal="center" vertical="center" shrinkToFit="1"/>
      <protection locked="0"/>
    </xf>
    <xf numFmtId="0" fontId="25" fillId="4" borderId="4" xfId="0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Alignment="1">
      <alignment horizontal="center" wrapText="1"/>
    </xf>
    <xf numFmtId="0" fontId="31" fillId="3" borderId="0" xfId="0" applyFont="1" applyFill="1" applyAlignment="1" applyProtection="1">
      <alignment vertical="center"/>
    </xf>
    <xf numFmtId="0" fontId="32" fillId="3" borderId="0" xfId="0" applyFont="1" applyFill="1" applyBorder="1" applyAlignment="1" applyProtection="1">
      <alignment vertical="center" shrinkToFit="1"/>
    </xf>
    <xf numFmtId="0" fontId="2" fillId="3" borderId="0" xfId="0" applyFont="1" applyFill="1" applyAlignment="1" applyProtection="1">
      <alignment vertical="center"/>
    </xf>
    <xf numFmtId="0" fontId="33" fillId="3" borderId="0" xfId="0" applyFont="1" applyFill="1" applyAlignment="1" applyProtection="1">
      <alignment vertical="center"/>
    </xf>
    <xf numFmtId="0" fontId="6" fillId="3" borderId="8" xfId="0" applyFont="1" applyFill="1" applyBorder="1" applyAlignment="1">
      <alignment horizontal="center" vertical="center" wrapText="1"/>
    </xf>
    <xf numFmtId="0" fontId="26" fillId="3" borderId="0" xfId="0" applyFont="1" applyFill="1" applyBorder="1" applyAlignment="1">
      <alignment horizontal="center" vertical="top" wrapText="1"/>
    </xf>
    <xf numFmtId="0" fontId="26" fillId="3" borderId="9" xfId="0" applyFont="1" applyFill="1" applyBorder="1" applyAlignment="1">
      <alignment horizontal="center" vertical="top" wrapText="1"/>
    </xf>
    <xf numFmtId="0" fontId="34" fillId="3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vertical="top" wrapText="1"/>
    </xf>
    <xf numFmtId="0" fontId="6" fillId="3" borderId="10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34" fillId="3" borderId="9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vertical="top"/>
    </xf>
    <xf numFmtId="0" fontId="0" fillId="3" borderId="0" xfId="0" applyFill="1"/>
    <xf numFmtId="0" fontId="6" fillId="0" borderId="10" xfId="0" applyFont="1" applyBorder="1" applyAlignment="1">
      <alignment horizontal="center" vertical="center" wrapText="1"/>
    </xf>
    <xf numFmtId="0" fontId="29" fillId="2" borderId="13" xfId="2" applyFont="1" applyFill="1" applyBorder="1" applyAlignment="1" applyProtection="1">
      <alignment horizontal="center" vertical="center" wrapText="1" shrinkToFit="1"/>
      <protection locked="0"/>
    </xf>
    <xf numFmtId="0" fontId="29" fillId="2" borderId="14" xfId="2" applyFont="1" applyFill="1" applyBorder="1" applyAlignment="1" applyProtection="1">
      <alignment horizontal="center" vertical="center" wrapText="1" shrinkToFit="1"/>
      <protection locked="0"/>
    </xf>
    <xf numFmtId="164" fontId="29" fillId="2" borderId="7" xfId="2" applyNumberFormat="1" applyFont="1" applyFill="1" applyBorder="1" applyAlignment="1" applyProtection="1">
      <alignment horizontal="center" vertical="center" wrapText="1" shrinkToFit="1"/>
      <protection locked="0"/>
    </xf>
    <xf numFmtId="0" fontId="35" fillId="0" borderId="0" xfId="0" applyFont="1" applyAlignment="1" applyProtection="1">
      <alignment horizontal="right" vertical="center"/>
    </xf>
    <xf numFmtId="0" fontId="12" fillId="2" borderId="0" xfId="1" applyFont="1" applyFill="1" applyBorder="1" applyAlignment="1" applyProtection="1">
      <alignment horizontal="center" vertical="center" shrinkToFit="1"/>
      <protection locked="0"/>
    </xf>
    <xf numFmtId="0" fontId="37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39" fillId="0" borderId="0" xfId="0" applyFont="1" applyAlignment="1" applyProtection="1">
      <alignment vertical="center"/>
    </xf>
    <xf numFmtId="16" fontId="40" fillId="0" borderId="0" xfId="0" applyNumberFormat="1" applyFont="1" applyAlignment="1" applyProtection="1">
      <alignment horizontal="left" vertical="center"/>
      <protection locked="0"/>
    </xf>
    <xf numFmtId="0" fontId="36" fillId="2" borderId="15" xfId="2" applyFont="1" applyFill="1" applyBorder="1" applyAlignment="1" applyProtection="1">
      <alignment vertical="center" wrapText="1" shrinkToFit="1"/>
      <protection locked="0"/>
    </xf>
    <xf numFmtId="0" fontId="36" fillId="2" borderId="16" xfId="0" applyFont="1" applyFill="1" applyBorder="1" applyAlignment="1" applyProtection="1">
      <alignment vertical="center" shrinkToFit="1"/>
      <protection locked="0"/>
    </xf>
    <xf numFmtId="0" fontId="41" fillId="0" borderId="4" xfId="0" applyFont="1" applyFill="1" applyBorder="1" applyAlignment="1" applyProtection="1">
      <alignment vertical="center" shrinkToFit="1"/>
      <protection locked="0"/>
    </xf>
    <xf numFmtId="49" fontId="39" fillId="0" borderId="0" xfId="0" applyNumberFormat="1" applyFont="1" applyAlignment="1" applyProtection="1">
      <alignment horizontal="center" vertical="center"/>
    </xf>
    <xf numFmtId="0" fontId="41" fillId="3" borderId="4" xfId="0" applyFont="1" applyFill="1" applyBorder="1" applyAlignment="1" applyProtection="1">
      <alignment vertical="center" shrinkToFit="1"/>
      <protection locked="0"/>
    </xf>
    <xf numFmtId="0" fontId="42" fillId="0" borderId="0" xfId="0" applyFont="1" applyAlignment="1" applyProtection="1">
      <alignment vertical="center"/>
    </xf>
    <xf numFmtId="0" fontId="36" fillId="0" borderId="0" xfId="0" applyFont="1" applyAlignment="1" applyProtection="1">
      <alignment vertical="center"/>
      <protection locked="0"/>
    </xf>
    <xf numFmtId="0" fontId="36" fillId="2" borderId="16" xfId="0" applyFont="1" applyFill="1" applyBorder="1" applyAlignment="1" applyProtection="1">
      <alignment vertical="center" wrapText="1" shrinkToFit="1"/>
      <protection locked="0"/>
    </xf>
    <xf numFmtId="0" fontId="39" fillId="0" borderId="0" xfId="0" applyFont="1" applyAlignment="1" applyProtection="1">
      <alignment horizontal="left" vertical="center"/>
    </xf>
    <xf numFmtId="0" fontId="36" fillId="6" borderId="15" xfId="2" applyFont="1" applyFill="1" applyBorder="1" applyAlignment="1" applyProtection="1">
      <alignment vertical="center" wrapText="1" shrinkToFit="1"/>
      <protection locked="0"/>
    </xf>
    <xf numFmtId="0" fontId="41" fillId="6" borderId="15" xfId="2" applyFont="1" applyFill="1" applyBorder="1" applyAlignment="1" applyProtection="1">
      <alignment horizontal="center" vertical="center" wrapText="1" shrinkToFit="1"/>
      <protection locked="0"/>
    </xf>
    <xf numFmtId="0" fontId="44" fillId="6" borderId="0" xfId="1" applyFill="1" applyBorder="1" applyAlignment="1" applyProtection="1">
      <alignment horizontal="center" vertical="center" shrinkToFit="1"/>
      <protection locked="0"/>
    </xf>
    <xf numFmtId="0" fontId="36" fillId="6" borderId="16" xfId="0" applyFont="1" applyFill="1" applyBorder="1" applyAlignment="1" applyProtection="1">
      <alignment vertical="center" shrinkToFit="1"/>
      <protection locked="0"/>
    </xf>
    <xf numFmtId="0" fontId="26" fillId="3" borderId="0" xfId="0" applyFont="1" applyFill="1" applyBorder="1" applyAlignment="1">
      <alignment vertical="top"/>
    </xf>
    <xf numFmtId="0" fontId="26" fillId="3" borderId="9" xfId="0" applyFont="1" applyFill="1" applyBorder="1" applyAlignment="1">
      <alignment vertical="top" wrapText="1"/>
    </xf>
    <xf numFmtId="0" fontId="34" fillId="3" borderId="9" xfId="0" applyFont="1" applyFill="1" applyBorder="1" applyAlignment="1">
      <alignment vertical="top" wrapText="1"/>
    </xf>
    <xf numFmtId="0" fontId="34" fillId="3" borderId="0" xfId="0" applyFont="1" applyFill="1" applyBorder="1" applyAlignment="1">
      <alignment vertical="top" wrapText="1"/>
    </xf>
    <xf numFmtId="0" fontId="45" fillId="0" borderId="0" xfId="0" applyFont="1" applyAlignment="1">
      <alignment wrapText="1"/>
    </xf>
    <xf numFmtId="0" fontId="0" fillId="0" borderId="0" xfId="0" applyAlignment="1">
      <alignment wrapText="1"/>
    </xf>
    <xf numFmtId="0" fontId="46" fillId="0" borderId="0" xfId="0" applyFont="1"/>
    <xf numFmtId="0" fontId="46" fillId="0" borderId="0" xfId="0" applyFont="1" applyAlignment="1">
      <alignment horizontal="left" indent="15"/>
    </xf>
    <xf numFmtId="0" fontId="26" fillId="7" borderId="0" xfId="0" applyFont="1" applyFill="1" applyBorder="1" applyAlignment="1">
      <alignment horizontal="center" vertical="top" wrapText="1"/>
    </xf>
    <xf numFmtId="0" fontId="34" fillId="8" borderId="9" xfId="0" applyFont="1" applyFill="1" applyBorder="1" applyAlignment="1">
      <alignment horizontal="center" vertical="top" wrapText="1"/>
    </xf>
    <xf numFmtId="0" fontId="0" fillId="8" borderId="0" xfId="0" applyFill="1" applyBorder="1" applyAlignment="1">
      <alignment vertical="top"/>
    </xf>
    <xf numFmtId="0" fontId="0" fillId="8" borderId="0" xfId="0" applyFill="1" applyBorder="1" applyAlignment="1">
      <alignment vertical="top" wrapText="1"/>
    </xf>
    <xf numFmtId="0" fontId="26" fillId="8" borderId="9" xfId="0" applyFont="1" applyFill="1" applyBorder="1" applyAlignment="1">
      <alignment vertical="top" wrapText="1"/>
    </xf>
    <xf numFmtId="0" fontId="26" fillId="8" borderId="0" xfId="0" applyFont="1" applyFill="1" applyBorder="1" applyAlignment="1">
      <alignment vertical="top"/>
    </xf>
    <xf numFmtId="0" fontId="0" fillId="8" borderId="0" xfId="0" applyFill="1"/>
    <xf numFmtId="0" fontId="26" fillId="8" borderId="0" xfId="0" applyFont="1" applyFill="1" applyBorder="1" applyAlignment="1">
      <alignment horizontal="center" vertical="top" wrapText="1"/>
    </xf>
    <xf numFmtId="0" fontId="6" fillId="9" borderId="8" xfId="0" applyFont="1" applyFill="1" applyBorder="1" applyAlignment="1">
      <alignment horizontal="center" vertical="center" wrapText="1"/>
    </xf>
    <xf numFmtId="0" fontId="34" fillId="8" borderId="20" xfId="0" applyFont="1" applyFill="1" applyBorder="1" applyAlignment="1">
      <alignment horizontal="center" vertical="top" wrapText="1"/>
    </xf>
    <xf numFmtId="0" fontId="26" fillId="8" borderId="20" xfId="0" applyFont="1" applyFill="1" applyBorder="1" applyAlignment="1">
      <alignment horizontal="center" vertical="top" wrapText="1"/>
    </xf>
    <xf numFmtId="0" fontId="34" fillId="9" borderId="21" xfId="0" applyFont="1" applyFill="1" applyBorder="1" applyAlignment="1">
      <alignment horizontal="center" vertical="top" wrapText="1"/>
    </xf>
    <xf numFmtId="0" fontId="26" fillId="9" borderId="21" xfId="0" applyFont="1" applyFill="1" applyBorder="1" applyAlignment="1">
      <alignment horizontal="center" vertical="top" wrapText="1"/>
    </xf>
    <xf numFmtId="0" fontId="0" fillId="9" borderId="0" xfId="0" applyFill="1" applyBorder="1" applyAlignment="1">
      <alignment vertical="top"/>
    </xf>
    <xf numFmtId="0" fontId="26" fillId="9" borderId="0" xfId="0" applyFont="1" applyFill="1" applyBorder="1" applyAlignment="1">
      <alignment horizontal="center" vertical="top" wrapText="1"/>
    </xf>
    <xf numFmtId="0" fontId="0" fillId="9" borderId="0" xfId="0" applyFill="1" applyBorder="1" applyAlignment="1">
      <alignment vertical="top" wrapText="1"/>
    </xf>
    <xf numFmtId="0" fontId="0" fillId="9" borderId="22" xfId="0" applyFill="1" applyBorder="1" applyAlignment="1">
      <alignment vertical="top"/>
    </xf>
    <xf numFmtId="0" fontId="0" fillId="9" borderId="22" xfId="0" applyFill="1" applyBorder="1" applyAlignment="1">
      <alignment vertical="top" wrapText="1"/>
    </xf>
    <xf numFmtId="0" fontId="26" fillId="9" borderId="22" xfId="0" applyFont="1" applyFill="1" applyBorder="1" applyAlignment="1">
      <alignment horizontal="center" vertical="top" wrapText="1"/>
    </xf>
    <xf numFmtId="0" fontId="34" fillId="9" borderId="20" xfId="0" applyFont="1" applyFill="1" applyBorder="1" applyAlignment="1">
      <alignment horizontal="center" vertical="top" wrapText="1"/>
    </xf>
    <xf numFmtId="0" fontId="26" fillId="9" borderId="20" xfId="0" applyFont="1" applyFill="1" applyBorder="1" applyAlignment="1">
      <alignment horizontal="center" vertical="top" wrapText="1"/>
    </xf>
    <xf numFmtId="0" fontId="34" fillId="9" borderId="0" xfId="0" applyFont="1" applyFill="1" applyBorder="1" applyAlignment="1">
      <alignment horizontal="center" vertical="top" wrapText="1"/>
    </xf>
    <xf numFmtId="0" fontId="34" fillId="8" borderId="0" xfId="0" applyFont="1" applyFill="1" applyBorder="1" applyAlignment="1">
      <alignment horizontal="center" vertical="top" wrapText="1"/>
    </xf>
    <xf numFmtId="0" fontId="26" fillId="9" borderId="20" xfId="0" applyFont="1" applyFill="1" applyBorder="1" applyAlignment="1">
      <alignment horizontal="justify" vertical="top" wrapText="1"/>
    </xf>
    <xf numFmtId="0" fontId="26" fillId="9" borderId="0" xfId="0" applyFont="1" applyFill="1" applyBorder="1" applyAlignment="1">
      <alignment horizontal="justify" vertical="top" wrapText="1"/>
    </xf>
    <xf numFmtId="0" fontId="51" fillId="0" borderId="0" xfId="0" applyFont="1"/>
    <xf numFmtId="0" fontId="0" fillId="9" borderId="0" xfId="0" applyFill="1" applyBorder="1"/>
    <xf numFmtId="0" fontId="26" fillId="8" borderId="20" xfId="0" applyFont="1" applyFill="1" applyBorder="1" applyAlignment="1">
      <alignment horizontal="justify" vertical="top" wrapText="1"/>
    </xf>
    <xf numFmtId="0" fontId="26" fillId="8" borderId="9" xfId="0" applyFont="1" applyFill="1" applyBorder="1" applyAlignment="1">
      <alignment horizontal="center" vertical="top" wrapText="1"/>
    </xf>
    <xf numFmtId="0" fontId="26" fillId="8" borderId="0" xfId="0" applyFont="1" applyFill="1" applyBorder="1" applyAlignment="1">
      <alignment horizontal="center" vertical="top" wrapText="1"/>
    </xf>
    <xf numFmtId="0" fontId="34" fillId="3" borderId="9" xfId="0" applyFont="1" applyFill="1" applyBorder="1" applyAlignment="1">
      <alignment horizontal="center" vertical="top" wrapText="1"/>
    </xf>
    <xf numFmtId="0" fontId="34" fillId="3" borderId="0" xfId="0" applyFont="1" applyFill="1" applyBorder="1" applyAlignment="1">
      <alignment horizontal="center" vertical="top" wrapText="1"/>
    </xf>
    <xf numFmtId="0" fontId="26" fillId="3" borderId="9" xfId="0" applyFont="1" applyFill="1" applyBorder="1" applyAlignment="1">
      <alignment horizontal="center" vertical="top" wrapText="1"/>
    </xf>
    <xf numFmtId="0" fontId="26" fillId="3" borderId="0" xfId="0" applyFont="1" applyFill="1" applyBorder="1" applyAlignment="1">
      <alignment horizontal="center" vertical="top" wrapText="1"/>
    </xf>
    <xf numFmtId="0" fontId="26" fillId="8" borderId="0" xfId="0" applyFont="1" applyFill="1" applyBorder="1" applyAlignment="1">
      <alignment horizontal="center" vertical="top" wrapText="1"/>
    </xf>
    <xf numFmtId="0" fontId="44" fillId="2" borderId="13" xfId="1" applyFill="1" applyBorder="1" applyAlignment="1" applyProtection="1">
      <alignment horizontal="center" vertical="center" wrapText="1" shrinkToFit="1"/>
      <protection locked="0"/>
    </xf>
    <xf numFmtId="0" fontId="26" fillId="8" borderId="9" xfId="0" applyFont="1" applyFill="1" applyBorder="1" applyAlignment="1">
      <alignment horizontal="center" vertical="top" wrapText="1"/>
    </xf>
    <xf numFmtId="0" fontId="26" fillId="8" borderId="0" xfId="0" applyFont="1" applyFill="1" applyBorder="1" applyAlignment="1">
      <alignment horizontal="center" vertical="top" wrapText="1"/>
    </xf>
    <xf numFmtId="0" fontId="26" fillId="8" borderId="0" xfId="0" applyFont="1" applyFill="1" applyBorder="1" applyAlignment="1">
      <alignment horizontal="justify" vertical="top" wrapText="1"/>
    </xf>
    <xf numFmtId="0" fontId="26" fillId="9" borderId="20" xfId="0" applyFont="1" applyFill="1" applyBorder="1" applyAlignment="1">
      <alignment horizontal="justify" vertical="top" wrapText="1"/>
    </xf>
    <xf numFmtId="0" fontId="26" fillId="3" borderId="9" xfId="0" applyFont="1" applyFill="1" applyBorder="1" applyAlignment="1">
      <alignment horizontal="center" vertical="top" wrapText="1"/>
    </xf>
    <xf numFmtId="0" fontId="44" fillId="2" borderId="7" xfId="1" applyFill="1" applyBorder="1" applyAlignment="1" applyProtection="1">
      <alignment horizontal="center" vertical="center" wrapText="1" shrinkToFit="1"/>
      <protection locked="0"/>
    </xf>
    <xf numFmtId="0" fontId="34" fillId="0" borderId="8" xfId="0" applyFont="1" applyFill="1" applyBorder="1" applyAlignment="1">
      <alignment horizontal="center" vertical="top" wrapText="1"/>
    </xf>
    <xf numFmtId="0" fontId="26" fillId="0" borderId="8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vertical="top"/>
    </xf>
    <xf numFmtId="0" fontId="26" fillId="0" borderId="11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vertical="top" wrapText="1"/>
    </xf>
    <xf numFmtId="0" fontId="34" fillId="0" borderId="11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/>
    </xf>
    <xf numFmtId="0" fontId="34" fillId="0" borderId="12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34" fillId="8" borderId="8" xfId="0" applyFont="1" applyFill="1" applyBorder="1" applyAlignment="1">
      <alignment horizontal="center" vertical="top" wrapText="1"/>
    </xf>
    <xf numFmtId="0" fontId="26" fillId="8" borderId="8" xfId="0" applyFont="1" applyFill="1" applyBorder="1" applyAlignment="1">
      <alignment horizontal="center" vertical="top" wrapText="1"/>
    </xf>
    <xf numFmtId="0" fontId="0" fillId="8" borderId="11" xfId="0" applyFill="1" applyBorder="1" applyAlignment="1">
      <alignment vertical="top"/>
    </xf>
    <xf numFmtId="0" fontId="26" fillId="8" borderId="11" xfId="0" applyFont="1" applyFill="1" applyBorder="1" applyAlignment="1">
      <alignment horizontal="center" vertical="top" wrapText="1"/>
    </xf>
    <xf numFmtId="0" fontId="34" fillId="8" borderId="11" xfId="0" applyFont="1" applyFill="1" applyBorder="1" applyAlignment="1">
      <alignment horizontal="center" vertical="top" wrapText="1"/>
    </xf>
    <xf numFmtId="0" fontId="0" fillId="8" borderId="12" xfId="0" applyFill="1" applyBorder="1" applyAlignment="1">
      <alignment vertical="top"/>
    </xf>
    <xf numFmtId="0" fontId="34" fillId="8" borderId="12" xfId="0" applyFont="1" applyFill="1" applyBorder="1" applyAlignment="1">
      <alignment horizontal="center" vertical="top" wrapText="1"/>
    </xf>
    <xf numFmtId="0" fontId="0" fillId="8" borderId="12" xfId="0" applyFill="1" applyBorder="1" applyAlignment="1">
      <alignment vertical="top" wrapText="1"/>
    </xf>
    <xf numFmtId="0" fontId="26" fillId="0" borderId="12" xfId="0" applyFont="1" applyFill="1" applyBorder="1" applyAlignment="1">
      <alignment horizontal="center" vertical="top" wrapText="1"/>
    </xf>
    <xf numFmtId="0" fontId="0" fillId="9" borderId="0" xfId="0" applyFill="1"/>
    <xf numFmtId="0" fontId="36" fillId="7" borderId="15" xfId="2" applyFont="1" applyFill="1" applyBorder="1" applyAlignment="1" applyProtection="1">
      <alignment vertical="center" wrapText="1" shrinkToFit="1"/>
      <protection locked="0"/>
    </xf>
    <xf numFmtId="0" fontId="0" fillId="8" borderId="11" xfId="0" applyFill="1" applyBorder="1"/>
    <xf numFmtId="0" fontId="0" fillId="8" borderId="11" xfId="0" applyFill="1" applyBorder="1" applyAlignment="1">
      <alignment vertical="top" wrapText="1"/>
    </xf>
    <xf numFmtId="0" fontId="26" fillId="8" borderId="11" xfId="0" applyFont="1" applyFill="1" applyBorder="1" applyAlignment="1">
      <alignment vertical="top" wrapText="1"/>
    </xf>
    <xf numFmtId="0" fontId="0" fillId="8" borderId="12" xfId="0" applyFill="1" applyBorder="1"/>
    <xf numFmtId="0" fontId="26" fillId="8" borderId="9" xfId="0" applyFont="1" applyFill="1" applyBorder="1" applyAlignment="1">
      <alignment horizontal="justify" vertical="top" wrapText="1"/>
    </xf>
    <xf numFmtId="0" fontId="0" fillId="8" borderId="1" xfId="0" applyFill="1" applyBorder="1" applyAlignment="1">
      <alignment vertical="top"/>
    </xf>
    <xf numFmtId="0" fontId="0" fillId="8" borderId="1" xfId="0" applyFill="1" applyBorder="1" applyAlignment="1">
      <alignment vertical="top" wrapText="1"/>
    </xf>
    <xf numFmtId="0" fontId="26" fillId="8" borderId="1" xfId="0" applyFont="1" applyFill="1" applyBorder="1" applyAlignment="1">
      <alignment horizontal="center" vertical="top" wrapText="1"/>
    </xf>
    <xf numFmtId="0" fontId="36" fillId="7" borderId="16" xfId="0" applyFont="1" applyFill="1" applyBorder="1" applyAlignment="1" applyProtection="1">
      <alignment vertical="center" wrapText="1" shrinkToFit="1"/>
      <protection locked="0"/>
    </xf>
    <xf numFmtId="0" fontId="24" fillId="5" borderId="3" xfId="0" applyFont="1" applyFill="1" applyBorder="1" applyAlignment="1" applyProtection="1">
      <alignment horizontal="center" vertical="center" textRotation="90"/>
    </xf>
    <xf numFmtId="0" fontId="26" fillId="5" borderId="4" xfId="0" applyFont="1" applyFill="1" applyBorder="1" applyAlignment="1">
      <alignment horizontal="center" vertical="center" textRotation="90"/>
    </xf>
    <xf numFmtId="0" fontId="29" fillId="2" borderId="18" xfId="0" applyFont="1" applyFill="1" applyBorder="1" applyAlignment="1" applyProtection="1">
      <alignment horizontal="center" vertical="center" shrinkToFit="1"/>
      <protection locked="0"/>
    </xf>
    <xf numFmtId="0" fontId="29" fillId="2" borderId="19" xfId="0" applyFont="1" applyFill="1" applyBorder="1" applyAlignment="1" applyProtection="1">
      <alignment horizontal="center" vertical="center" shrinkToFit="1"/>
      <protection locked="0"/>
    </xf>
    <xf numFmtId="0" fontId="29" fillId="2" borderId="13" xfId="0" applyFont="1" applyFill="1" applyBorder="1" applyAlignment="1" applyProtection="1">
      <alignment horizontal="center" vertical="center" shrinkToFit="1"/>
      <protection locked="0"/>
    </xf>
    <xf numFmtId="0" fontId="30" fillId="0" borderId="0" xfId="0" applyFont="1" applyAlignment="1" applyProtection="1">
      <alignment horizontal="left" vertical="top" wrapText="1"/>
    </xf>
    <xf numFmtId="0" fontId="30" fillId="0" borderId="0" xfId="0" applyFont="1" applyAlignment="1" applyProtection="1">
      <alignment horizontal="left" vertical="top"/>
    </xf>
    <xf numFmtId="0" fontId="29" fillId="2" borderId="16" xfId="2" applyFont="1" applyFill="1" applyBorder="1" applyAlignment="1" applyProtection="1">
      <alignment horizontal="center" vertical="center" wrapText="1" shrinkToFit="1"/>
      <protection locked="0"/>
    </xf>
    <xf numFmtId="0" fontId="29" fillId="2" borderId="17" xfId="2" applyFont="1" applyFill="1" applyBorder="1" applyAlignment="1" applyProtection="1">
      <alignment horizontal="center" vertical="center" wrapText="1" shrinkToFit="1"/>
      <protection locked="0"/>
    </xf>
    <xf numFmtId="0" fontId="24" fillId="5" borderId="4" xfId="0" applyFont="1" applyFill="1" applyBorder="1" applyAlignment="1" applyProtection="1">
      <alignment horizontal="center" vertical="center" textRotation="90"/>
    </xf>
    <xf numFmtId="0" fontId="25" fillId="4" borderId="4" xfId="0" applyFont="1" applyFill="1" applyBorder="1" applyAlignment="1" applyProtection="1">
      <alignment horizontal="left" vertical="center" wrapText="1"/>
      <protection locked="0"/>
    </xf>
    <xf numFmtId="0" fontId="25" fillId="4" borderId="4" xfId="0" applyFont="1" applyFill="1" applyBorder="1" applyAlignment="1" applyProtection="1">
      <alignment horizontal="center" vertical="center" wrapText="1"/>
      <protection locked="0"/>
    </xf>
    <xf numFmtId="0" fontId="26" fillId="8" borderId="9" xfId="0" applyFont="1" applyFill="1" applyBorder="1" applyAlignment="1">
      <alignment horizontal="center" vertical="top" wrapText="1"/>
    </xf>
    <xf numFmtId="0" fontId="26" fillId="8" borderId="0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26" fillId="8" borderId="9" xfId="0" applyFont="1" applyFill="1" applyBorder="1" applyAlignment="1">
      <alignment horizontal="left" vertical="top" wrapText="1"/>
    </xf>
    <xf numFmtId="0" fontId="26" fillId="8" borderId="0" xfId="0" applyFont="1" applyFill="1" applyBorder="1" applyAlignment="1">
      <alignment horizontal="left" vertical="top" wrapText="1"/>
    </xf>
    <xf numFmtId="0" fontId="26" fillId="3" borderId="9" xfId="0" applyFont="1" applyFill="1" applyBorder="1" applyAlignment="1">
      <alignment horizontal="left" vertical="top" wrapText="1"/>
    </xf>
    <xf numFmtId="0" fontId="26" fillId="3" borderId="0" xfId="0" applyFont="1" applyFill="1" applyBorder="1" applyAlignment="1">
      <alignment horizontal="left" vertical="top" wrapText="1"/>
    </xf>
    <xf numFmtId="0" fontId="26" fillId="3" borderId="1" xfId="0" applyFont="1" applyFill="1" applyBorder="1" applyAlignment="1">
      <alignment horizontal="left" vertical="top" wrapText="1"/>
    </xf>
    <xf numFmtId="0" fontId="26" fillId="8" borderId="1" xfId="0" applyFont="1" applyFill="1" applyBorder="1" applyAlignment="1">
      <alignment horizontal="left" vertical="top" wrapText="1"/>
    </xf>
    <xf numFmtId="0" fontId="34" fillId="3" borderId="9" xfId="0" applyFont="1" applyFill="1" applyBorder="1" applyAlignment="1">
      <alignment horizontal="center" vertical="top" wrapText="1"/>
    </xf>
    <xf numFmtId="0" fontId="34" fillId="3" borderId="0" xfId="0" applyFont="1" applyFill="1" applyBorder="1" applyAlignment="1">
      <alignment horizontal="center" vertical="top" wrapText="1"/>
    </xf>
    <xf numFmtId="0" fontId="26" fillId="9" borderId="20" xfId="0" applyFont="1" applyFill="1" applyBorder="1" applyAlignment="1">
      <alignment horizontal="justify" vertical="top" wrapText="1"/>
    </xf>
    <xf numFmtId="0" fontId="26" fillId="9" borderId="0" xfId="0" applyFont="1" applyFill="1" applyBorder="1" applyAlignment="1">
      <alignment horizontal="justify" vertical="top" wrapText="1"/>
    </xf>
    <xf numFmtId="0" fontId="26" fillId="8" borderId="20" xfId="0" applyFont="1" applyFill="1" applyBorder="1" applyAlignment="1">
      <alignment horizontal="justify" vertical="top" wrapText="1"/>
    </xf>
    <xf numFmtId="0" fontId="26" fillId="8" borderId="0" xfId="0" applyFont="1" applyFill="1" applyBorder="1" applyAlignment="1">
      <alignment horizontal="justify" vertical="top" wrapText="1"/>
    </xf>
    <xf numFmtId="0" fontId="26" fillId="9" borderId="21" xfId="0" applyFont="1" applyFill="1" applyBorder="1" applyAlignment="1">
      <alignment horizontal="justify" vertical="top" wrapText="1"/>
    </xf>
    <xf numFmtId="0" fontId="26" fillId="9" borderId="22" xfId="0" applyFont="1" applyFill="1" applyBorder="1" applyAlignment="1">
      <alignment horizontal="justify" vertical="top" wrapText="1"/>
    </xf>
    <xf numFmtId="0" fontId="26" fillId="3" borderId="9" xfId="0" applyFont="1" applyFill="1" applyBorder="1" applyAlignment="1">
      <alignment horizontal="justify" vertical="top" wrapText="1"/>
    </xf>
    <xf numFmtId="0" fontId="26" fillId="3" borderId="0" xfId="0" applyFont="1" applyFill="1" applyBorder="1" applyAlignment="1">
      <alignment horizontal="justify" vertical="top" wrapText="1"/>
    </xf>
    <xf numFmtId="0" fontId="26" fillId="8" borderId="9" xfId="0" applyFont="1" applyFill="1" applyBorder="1" applyAlignment="1">
      <alignment horizontal="justify" vertical="top" wrapText="1"/>
    </xf>
    <xf numFmtId="0" fontId="26" fillId="3" borderId="9" xfId="0" applyFont="1" applyFill="1" applyBorder="1" applyAlignment="1">
      <alignment horizontal="center" vertical="top" wrapText="1"/>
    </xf>
    <xf numFmtId="0" fontId="26" fillId="3" borderId="0" xfId="0" applyFont="1" applyFill="1" applyBorder="1" applyAlignment="1">
      <alignment horizontal="center" vertical="top" wrapText="1"/>
    </xf>
    <xf numFmtId="0" fontId="26" fillId="0" borderId="8" xfId="0" applyFont="1" applyFill="1" applyBorder="1" applyAlignment="1">
      <alignment horizontal="justify" vertical="top" wrapText="1"/>
    </xf>
    <xf numFmtId="0" fontId="26" fillId="0" borderId="11" xfId="0" applyFont="1" applyFill="1" applyBorder="1" applyAlignment="1">
      <alignment horizontal="justify" vertical="top" wrapText="1"/>
    </xf>
    <xf numFmtId="0" fontId="26" fillId="0" borderId="12" xfId="0" applyFont="1" applyFill="1" applyBorder="1" applyAlignment="1">
      <alignment horizontal="justify" vertical="top" wrapText="1"/>
    </xf>
    <xf numFmtId="0" fontId="26" fillId="8" borderId="8" xfId="0" applyFont="1" applyFill="1" applyBorder="1" applyAlignment="1">
      <alignment horizontal="justify" vertical="top" wrapText="1"/>
    </xf>
    <xf numFmtId="0" fontId="26" fillId="8" borderId="11" xfId="0" applyFont="1" applyFill="1" applyBorder="1" applyAlignment="1">
      <alignment horizontal="justify" vertical="top" wrapText="1"/>
    </xf>
    <xf numFmtId="0" fontId="26" fillId="8" borderId="12" xfId="0" applyFont="1" applyFill="1" applyBorder="1" applyAlignment="1">
      <alignment horizontal="justify" vertical="top" wrapText="1"/>
    </xf>
  </cellXfs>
  <cellStyles count="3">
    <cellStyle name="Hiperligação" xfId="1" builtinId="8"/>
    <cellStyle name="Normal" xfId="0" builtinId="0"/>
    <cellStyle name="Normal 3" xfId="2"/>
  </cellStyles>
  <dxfs count="13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0</xdr:row>
      <xdr:rowOff>104775</xdr:rowOff>
    </xdr:from>
    <xdr:to>
      <xdr:col>4</xdr:col>
      <xdr:colOff>390525</xdr:colOff>
      <xdr:row>1</xdr:row>
      <xdr:rowOff>495300</xdr:rowOff>
    </xdr:to>
    <xdr:pic>
      <xdr:nvPicPr>
        <xdr:cNvPr id="1025" name="Imagem 1" descr="cid:image001.png@01D1626A.55617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104775"/>
          <a:ext cx="1553817" cy="7218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428625</xdr:colOff>
      <xdr:row>0</xdr:row>
      <xdr:rowOff>161925</xdr:rowOff>
    </xdr:from>
    <xdr:to>
      <xdr:col>11</xdr:col>
      <xdr:colOff>219075</xdr:colOff>
      <xdr:row>40</xdr:row>
      <xdr:rowOff>57150</xdr:rowOff>
    </xdr:to>
    <xdr:pic>
      <xdr:nvPicPr>
        <xdr:cNvPr id="1026" name="Imagem 1" descr="dgeste-resize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81775" y="161925"/>
          <a:ext cx="196215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628650</xdr:colOff>
      <xdr:row>6</xdr:row>
      <xdr:rowOff>9525</xdr:rowOff>
    </xdr:to>
    <xdr:pic>
      <xdr:nvPicPr>
        <xdr:cNvPr id="2049" name="Imagem 3" descr="cid:image001.png@01D1626A.55617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23850"/>
          <a:ext cx="155257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2324100</xdr:colOff>
      <xdr:row>0</xdr:row>
      <xdr:rowOff>66675</xdr:rowOff>
    </xdr:from>
    <xdr:to>
      <xdr:col>4</xdr:col>
      <xdr:colOff>4295775</xdr:colOff>
      <xdr:row>5</xdr:row>
      <xdr:rowOff>133350</xdr:rowOff>
    </xdr:to>
    <xdr:pic>
      <xdr:nvPicPr>
        <xdr:cNvPr id="2050" name="Imagem 1" descr="dgeste-resize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286750" y="66675"/>
          <a:ext cx="197167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1</xdr:col>
      <xdr:colOff>625608</xdr:colOff>
      <xdr:row>6</xdr:row>
      <xdr:rowOff>4962</xdr:rowOff>
    </xdr:to>
    <xdr:pic>
      <xdr:nvPicPr>
        <xdr:cNvPr id="4" name="Imagem 3" descr="cid:image001.png@01D1626A.5561720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23850"/>
          <a:ext cx="1549533" cy="719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2326822</xdr:colOff>
      <xdr:row>0</xdr:row>
      <xdr:rowOff>68036</xdr:rowOff>
    </xdr:from>
    <xdr:to>
      <xdr:col>4</xdr:col>
      <xdr:colOff>4293454</xdr:colOff>
      <xdr:row>5</xdr:row>
      <xdr:rowOff>134631</xdr:rowOff>
    </xdr:to>
    <xdr:pic>
      <xdr:nvPicPr>
        <xdr:cNvPr id="5" name="Imagem 1" descr="dgeste-resized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51622" y="68036"/>
          <a:ext cx="1966632" cy="87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1</xdr:col>
      <xdr:colOff>628650</xdr:colOff>
      <xdr:row>6</xdr:row>
      <xdr:rowOff>9525</xdr:rowOff>
    </xdr:to>
    <xdr:pic>
      <xdr:nvPicPr>
        <xdr:cNvPr id="6" name="Imagem 3" descr="cid:image001.png@01D1626A.55617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23850"/>
          <a:ext cx="155257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2324100</xdr:colOff>
      <xdr:row>0</xdr:row>
      <xdr:rowOff>66675</xdr:rowOff>
    </xdr:from>
    <xdr:to>
      <xdr:col>4</xdr:col>
      <xdr:colOff>4295775</xdr:colOff>
      <xdr:row>5</xdr:row>
      <xdr:rowOff>133350</xdr:rowOff>
    </xdr:to>
    <xdr:pic>
      <xdr:nvPicPr>
        <xdr:cNvPr id="7" name="Imagem 1" descr="dgeste-resize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248900" y="66675"/>
          <a:ext cx="197167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1</xdr:col>
      <xdr:colOff>625608</xdr:colOff>
      <xdr:row>6</xdr:row>
      <xdr:rowOff>4962</xdr:rowOff>
    </xdr:to>
    <xdr:pic>
      <xdr:nvPicPr>
        <xdr:cNvPr id="8" name="Imagem 7" descr="cid:image001.png@01D1626A.5561720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23850"/>
          <a:ext cx="1549533" cy="719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2326822</xdr:colOff>
      <xdr:row>0</xdr:row>
      <xdr:rowOff>68036</xdr:rowOff>
    </xdr:from>
    <xdr:to>
      <xdr:col>4</xdr:col>
      <xdr:colOff>4293454</xdr:colOff>
      <xdr:row>5</xdr:row>
      <xdr:rowOff>134631</xdr:rowOff>
    </xdr:to>
    <xdr:pic>
      <xdr:nvPicPr>
        <xdr:cNvPr id="9" name="Imagem 1" descr="dgeste-resized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51622" y="68036"/>
          <a:ext cx="1966632" cy="87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1</xdr:col>
      <xdr:colOff>628650</xdr:colOff>
      <xdr:row>6</xdr:row>
      <xdr:rowOff>9525</xdr:rowOff>
    </xdr:to>
    <xdr:pic>
      <xdr:nvPicPr>
        <xdr:cNvPr id="10" name="Imagem 3" descr="cid:image001.png@01D1626A.55617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23850"/>
          <a:ext cx="155257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2324100</xdr:colOff>
      <xdr:row>0</xdr:row>
      <xdr:rowOff>66675</xdr:rowOff>
    </xdr:from>
    <xdr:to>
      <xdr:col>4</xdr:col>
      <xdr:colOff>4295775</xdr:colOff>
      <xdr:row>5</xdr:row>
      <xdr:rowOff>133350</xdr:rowOff>
    </xdr:to>
    <xdr:pic>
      <xdr:nvPicPr>
        <xdr:cNvPr id="11" name="Imagem 1" descr="dgeste-resize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248900" y="66675"/>
          <a:ext cx="197167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1</xdr:col>
      <xdr:colOff>625608</xdr:colOff>
      <xdr:row>6</xdr:row>
      <xdr:rowOff>4962</xdr:rowOff>
    </xdr:to>
    <xdr:pic>
      <xdr:nvPicPr>
        <xdr:cNvPr id="12" name="Imagem 11" descr="cid:image001.png@01D1626A.5561720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23850"/>
          <a:ext cx="1549533" cy="719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2326822</xdr:colOff>
      <xdr:row>0</xdr:row>
      <xdr:rowOff>68036</xdr:rowOff>
    </xdr:from>
    <xdr:to>
      <xdr:col>4</xdr:col>
      <xdr:colOff>4293454</xdr:colOff>
      <xdr:row>5</xdr:row>
      <xdr:rowOff>134631</xdr:rowOff>
    </xdr:to>
    <xdr:pic>
      <xdr:nvPicPr>
        <xdr:cNvPr id="13" name="Imagem 1" descr="dgeste-resized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51622" y="68036"/>
          <a:ext cx="1966632" cy="87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1</xdr:col>
      <xdr:colOff>628650</xdr:colOff>
      <xdr:row>6</xdr:row>
      <xdr:rowOff>9525</xdr:rowOff>
    </xdr:to>
    <xdr:pic>
      <xdr:nvPicPr>
        <xdr:cNvPr id="14" name="Imagem 3" descr="cid:image001.png@01D1626A.55617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23850"/>
          <a:ext cx="155257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2324100</xdr:colOff>
      <xdr:row>0</xdr:row>
      <xdr:rowOff>66675</xdr:rowOff>
    </xdr:from>
    <xdr:to>
      <xdr:col>4</xdr:col>
      <xdr:colOff>4295775</xdr:colOff>
      <xdr:row>5</xdr:row>
      <xdr:rowOff>133350</xdr:rowOff>
    </xdr:to>
    <xdr:pic>
      <xdr:nvPicPr>
        <xdr:cNvPr id="15" name="Imagem 1" descr="dgeste-resize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248900" y="66675"/>
          <a:ext cx="197167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628650</xdr:colOff>
      <xdr:row>6</xdr:row>
      <xdr:rowOff>9525</xdr:rowOff>
    </xdr:to>
    <xdr:pic>
      <xdr:nvPicPr>
        <xdr:cNvPr id="3073" name="Imagem 3" descr="cid:image001.png@01D1626A.55617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23850"/>
          <a:ext cx="155257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2324100</xdr:colOff>
      <xdr:row>0</xdr:row>
      <xdr:rowOff>66675</xdr:rowOff>
    </xdr:from>
    <xdr:to>
      <xdr:col>4</xdr:col>
      <xdr:colOff>4295775</xdr:colOff>
      <xdr:row>5</xdr:row>
      <xdr:rowOff>133350</xdr:rowOff>
    </xdr:to>
    <xdr:pic>
      <xdr:nvPicPr>
        <xdr:cNvPr id="3074" name="Imagem 1" descr="dgeste-resize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286750" y="66675"/>
          <a:ext cx="197167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1</xdr:col>
      <xdr:colOff>625608</xdr:colOff>
      <xdr:row>6</xdr:row>
      <xdr:rowOff>4962</xdr:rowOff>
    </xdr:to>
    <xdr:pic>
      <xdr:nvPicPr>
        <xdr:cNvPr id="4" name="Imagem 3" descr="cid:image001.png@01D1626A.5561720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23850"/>
          <a:ext cx="1549533" cy="719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2326822</xdr:colOff>
      <xdr:row>0</xdr:row>
      <xdr:rowOff>68036</xdr:rowOff>
    </xdr:from>
    <xdr:to>
      <xdr:col>4</xdr:col>
      <xdr:colOff>4293454</xdr:colOff>
      <xdr:row>5</xdr:row>
      <xdr:rowOff>134631</xdr:rowOff>
    </xdr:to>
    <xdr:pic>
      <xdr:nvPicPr>
        <xdr:cNvPr id="5" name="Imagem 1" descr="dgeste-resized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289472" y="68036"/>
          <a:ext cx="1966632" cy="87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1</xdr:col>
      <xdr:colOff>625608</xdr:colOff>
      <xdr:row>6</xdr:row>
      <xdr:rowOff>4962</xdr:rowOff>
    </xdr:to>
    <xdr:pic>
      <xdr:nvPicPr>
        <xdr:cNvPr id="6" name="Imagem 5" descr="cid:image001.png@01D1626A.5561720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23850"/>
          <a:ext cx="1549533" cy="719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2326822</xdr:colOff>
      <xdr:row>0</xdr:row>
      <xdr:rowOff>68036</xdr:rowOff>
    </xdr:from>
    <xdr:to>
      <xdr:col>4</xdr:col>
      <xdr:colOff>4293454</xdr:colOff>
      <xdr:row>5</xdr:row>
      <xdr:rowOff>134631</xdr:rowOff>
    </xdr:to>
    <xdr:pic>
      <xdr:nvPicPr>
        <xdr:cNvPr id="7" name="Imagem 1" descr="dgeste-resized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289472" y="68036"/>
          <a:ext cx="1966632" cy="87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</xdr:row>
      <xdr:rowOff>0</xdr:rowOff>
    </xdr:from>
    <xdr:to>
      <xdr:col>1</xdr:col>
      <xdr:colOff>1009650</xdr:colOff>
      <xdr:row>5</xdr:row>
      <xdr:rowOff>28575</xdr:rowOff>
    </xdr:to>
    <xdr:pic>
      <xdr:nvPicPr>
        <xdr:cNvPr id="4097" name="Imagem 4" descr="cid:image001.png@01D1626A.55617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161925"/>
          <a:ext cx="15525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2076450</xdr:colOff>
      <xdr:row>0</xdr:row>
      <xdr:rowOff>47625</xdr:rowOff>
    </xdr:from>
    <xdr:to>
      <xdr:col>5</xdr:col>
      <xdr:colOff>95250</xdr:colOff>
      <xdr:row>5</xdr:row>
      <xdr:rowOff>76200</xdr:rowOff>
    </xdr:to>
    <xdr:pic>
      <xdr:nvPicPr>
        <xdr:cNvPr id="4098" name="Imagem 1" descr="dgeste-resize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44075" y="47625"/>
          <a:ext cx="19621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38100</xdr:colOff>
      <xdr:row>5</xdr:row>
      <xdr:rowOff>9525</xdr:rowOff>
    </xdr:to>
    <xdr:pic>
      <xdr:nvPicPr>
        <xdr:cNvPr id="5121" name="Imagem 3" descr="cid:image001.png@01D1626A.55617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4875" y="161925"/>
          <a:ext cx="155257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828675</xdr:colOff>
      <xdr:row>0</xdr:row>
      <xdr:rowOff>76200</xdr:rowOff>
    </xdr:from>
    <xdr:to>
      <xdr:col>5</xdr:col>
      <xdr:colOff>847725</xdr:colOff>
      <xdr:row>5</xdr:row>
      <xdr:rowOff>76200</xdr:rowOff>
    </xdr:to>
    <xdr:pic>
      <xdr:nvPicPr>
        <xdr:cNvPr id="5122" name="Imagem 1" descr="dgeste-resize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239125" y="76200"/>
          <a:ext cx="406717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40502</xdr:colOff>
      <xdr:row>5</xdr:row>
      <xdr:rowOff>4963</xdr:rowOff>
    </xdr:to>
    <xdr:pic>
      <xdr:nvPicPr>
        <xdr:cNvPr id="4" name="Imagem 3" descr="cid:image001.png@01D1626A.5561720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04875" y="161925"/>
          <a:ext cx="1554977" cy="719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828901</xdr:colOff>
      <xdr:row>0</xdr:row>
      <xdr:rowOff>78241</xdr:rowOff>
    </xdr:from>
    <xdr:to>
      <xdr:col>5</xdr:col>
      <xdr:colOff>847444</xdr:colOff>
      <xdr:row>5</xdr:row>
      <xdr:rowOff>76801</xdr:rowOff>
    </xdr:to>
    <xdr:pic>
      <xdr:nvPicPr>
        <xdr:cNvPr id="5" name="Imagem 1" descr="dgeste-resized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239351" y="78241"/>
          <a:ext cx="4066668" cy="87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600075</xdr:colOff>
      <xdr:row>5</xdr:row>
      <xdr:rowOff>28575</xdr:rowOff>
    </xdr:to>
    <xdr:pic>
      <xdr:nvPicPr>
        <xdr:cNvPr id="6145" name="Imagem 3" descr="cid:image001.png@01D1626A.55617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61925"/>
          <a:ext cx="15525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152400</xdr:colOff>
      <xdr:row>0</xdr:row>
      <xdr:rowOff>123825</xdr:rowOff>
    </xdr:from>
    <xdr:to>
      <xdr:col>5</xdr:col>
      <xdr:colOff>142875</xdr:colOff>
      <xdr:row>5</xdr:row>
      <xdr:rowOff>152400</xdr:rowOff>
    </xdr:to>
    <xdr:pic>
      <xdr:nvPicPr>
        <xdr:cNvPr id="6146" name="Imagem 1" descr="dgeste-resize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39200" y="123825"/>
          <a:ext cx="328612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584"/>
  <sheetViews>
    <sheetView tabSelected="1" zoomScale="124" zoomScaleNormal="124" zoomScaleSheetLayoutView="115" zoomScalePageLayoutView="70" workbookViewId="0">
      <selection activeCell="N152" sqref="N152"/>
    </sheetView>
  </sheetViews>
  <sheetFormatPr defaultRowHeight="20.100000000000001" customHeight="1"/>
  <cols>
    <col min="1" max="1" width="6.5703125" style="16" customWidth="1"/>
    <col min="2" max="2" width="0.85546875" style="17" customWidth="1"/>
    <col min="3" max="3" width="14" style="18" bestFit="1" customWidth="1"/>
    <col min="4" max="4" width="1.28515625" style="17" customWidth="1"/>
    <col min="5" max="5" width="63.140625" style="75" customWidth="1"/>
    <col min="6" max="6" width="8.42578125" style="38" customWidth="1"/>
    <col min="7" max="8" width="6.42578125" style="38" customWidth="1"/>
    <col min="9" max="9" width="6.85546875" style="38" customWidth="1"/>
    <col min="10" max="10" width="6.42578125" style="38" customWidth="1"/>
    <col min="11" max="11" width="9" style="38" customWidth="1"/>
    <col min="12" max="12" width="10.140625" style="38" customWidth="1"/>
    <col min="13" max="13" width="6.42578125" style="38" customWidth="1"/>
    <col min="14" max="14" width="8.42578125" style="13" customWidth="1"/>
    <col min="15" max="16384" width="9.140625" style="2"/>
  </cols>
  <sheetData>
    <row r="1" spans="1:14" ht="26.25" customHeight="1">
      <c r="E1" s="65"/>
      <c r="F1" s="19"/>
      <c r="G1" s="19"/>
      <c r="H1" s="19"/>
      <c r="I1" s="19"/>
      <c r="J1" s="19"/>
      <c r="K1" s="19"/>
      <c r="L1" s="19"/>
      <c r="M1" s="19"/>
      <c r="N1" s="8"/>
    </row>
    <row r="2" spans="1:14" ht="51.75" customHeight="1">
      <c r="E2" s="66" t="s">
        <v>475</v>
      </c>
      <c r="F2" s="19"/>
      <c r="G2" s="19"/>
      <c r="H2" s="19"/>
      <c r="I2" s="19"/>
      <c r="J2" s="19"/>
      <c r="K2" s="19"/>
      <c r="L2" s="19"/>
      <c r="M2" s="19"/>
      <c r="N2" s="8"/>
    </row>
    <row r="3" spans="1:14" ht="41.25" hidden="1" customHeight="1">
      <c r="E3" s="65"/>
      <c r="F3" s="19"/>
      <c r="G3" s="19"/>
      <c r="H3" s="19"/>
      <c r="I3" s="19"/>
      <c r="J3" s="19"/>
      <c r="K3" s="19"/>
      <c r="L3" s="19"/>
      <c r="M3" s="19"/>
      <c r="N3" s="8"/>
    </row>
    <row r="4" spans="1:14" ht="12.75" hidden="1" customHeight="1">
      <c r="A4" s="20">
        <v>0</v>
      </c>
      <c r="B4" s="21">
        <v>0</v>
      </c>
      <c r="C4" s="21">
        <v>0</v>
      </c>
      <c r="D4" s="17">
        <v>0</v>
      </c>
      <c r="E4" s="65">
        <v>0</v>
      </c>
      <c r="F4" s="22"/>
      <c r="G4" s="22"/>
      <c r="H4" s="22"/>
      <c r="I4" s="22"/>
      <c r="J4" s="22"/>
      <c r="K4" s="22"/>
      <c r="L4" s="22"/>
      <c r="M4" s="22"/>
      <c r="N4" s="9"/>
    </row>
    <row r="5" spans="1:14" ht="20.100000000000001" hidden="1" customHeight="1">
      <c r="B5" s="17">
        <v>0</v>
      </c>
      <c r="C5" s="23" t="s">
        <v>85</v>
      </c>
      <c r="D5" s="24"/>
      <c r="E5" s="67"/>
      <c r="F5" s="25"/>
      <c r="G5" s="25"/>
      <c r="H5" s="25"/>
      <c r="I5" s="25"/>
      <c r="J5" s="25"/>
      <c r="K5" s="25"/>
      <c r="L5" s="25"/>
      <c r="M5" s="25"/>
      <c r="N5" s="2"/>
    </row>
    <row r="6" spans="1:14" ht="20.100000000000001" hidden="1" customHeight="1" thickBot="1">
      <c r="B6" s="17">
        <v>0</v>
      </c>
      <c r="E6" s="68"/>
      <c r="F6" s="39" t="s">
        <v>87</v>
      </c>
      <c r="G6" s="39" t="s">
        <v>88</v>
      </c>
      <c r="H6" s="39" t="s">
        <v>89</v>
      </c>
      <c r="I6" s="39" t="s">
        <v>90</v>
      </c>
      <c r="J6" s="39" t="s">
        <v>91</v>
      </c>
      <c r="K6" s="39" t="s">
        <v>92</v>
      </c>
      <c r="L6" s="39" t="s">
        <v>93</v>
      </c>
      <c r="M6" s="39" t="s">
        <v>93</v>
      </c>
      <c r="N6" s="2"/>
    </row>
    <row r="7" spans="1:14" ht="20.100000000000001" hidden="1" customHeight="1" thickTop="1">
      <c r="A7" s="161" t="s">
        <v>16</v>
      </c>
      <c r="B7" s="26">
        <v>0</v>
      </c>
      <c r="C7" s="27" t="s">
        <v>17</v>
      </c>
      <c r="D7" s="28"/>
      <c r="E7" s="69"/>
      <c r="F7" s="40"/>
      <c r="G7" s="40"/>
      <c r="H7" s="40"/>
      <c r="I7" s="40"/>
      <c r="J7" s="40"/>
      <c r="K7" s="40"/>
      <c r="L7" s="40"/>
      <c r="M7" s="40"/>
      <c r="N7" s="10"/>
    </row>
    <row r="8" spans="1:14" ht="18" hidden="1">
      <c r="A8" s="170"/>
      <c r="B8" s="17">
        <v>0</v>
      </c>
      <c r="C8" s="171" t="s">
        <v>86</v>
      </c>
      <c r="D8" s="28"/>
      <c r="E8" s="69"/>
      <c r="F8" s="168"/>
      <c r="G8" s="168"/>
      <c r="H8" s="168"/>
      <c r="I8" s="168"/>
      <c r="J8" s="168"/>
      <c r="K8" s="168"/>
      <c r="L8" s="168"/>
      <c r="M8" s="168"/>
      <c r="N8" s="10"/>
    </row>
    <row r="9" spans="1:14" ht="20.100000000000001" hidden="1" customHeight="1">
      <c r="A9" s="170"/>
      <c r="B9" s="26">
        <v>0</v>
      </c>
      <c r="C9" s="171"/>
      <c r="D9" s="28"/>
      <c r="E9" s="69"/>
      <c r="F9" s="169"/>
      <c r="G9" s="169"/>
      <c r="H9" s="169"/>
      <c r="I9" s="169"/>
      <c r="J9" s="169"/>
      <c r="K9" s="169"/>
      <c r="L9" s="169"/>
      <c r="M9" s="169"/>
      <c r="N9" s="10"/>
    </row>
    <row r="10" spans="1:14" ht="20.100000000000001" hidden="1" customHeight="1">
      <c r="A10" s="170"/>
      <c r="B10" s="17">
        <v>0</v>
      </c>
      <c r="C10" s="29" t="s">
        <v>19</v>
      </c>
      <c r="D10" s="28"/>
      <c r="E10" s="69"/>
      <c r="F10" s="40"/>
      <c r="G10" s="40"/>
      <c r="H10" s="40"/>
      <c r="I10" s="40"/>
      <c r="J10" s="40"/>
      <c r="K10" s="40"/>
      <c r="L10" s="40"/>
      <c r="M10" s="40"/>
      <c r="N10" s="10"/>
    </row>
    <row r="11" spans="1:14" ht="20.100000000000001" hidden="1" customHeight="1">
      <c r="A11" s="170"/>
      <c r="B11" s="26">
        <v>0</v>
      </c>
      <c r="C11" s="29" t="s">
        <v>20</v>
      </c>
      <c r="D11" s="28"/>
      <c r="E11" s="70"/>
      <c r="F11" s="163"/>
      <c r="G11" s="164"/>
      <c r="H11" s="164"/>
      <c r="I11" s="164"/>
      <c r="J11" s="164"/>
      <c r="K11" s="164"/>
      <c r="L11" s="164"/>
      <c r="M11" s="165"/>
      <c r="N11" s="10"/>
    </row>
    <row r="12" spans="1:14" ht="20.100000000000001" hidden="1" customHeight="1">
      <c r="A12" s="30"/>
      <c r="B12" s="17">
        <v>0</v>
      </c>
      <c r="C12" s="31">
        <v>0</v>
      </c>
      <c r="D12" s="28"/>
      <c r="E12" s="71"/>
      <c r="F12" s="32"/>
      <c r="G12" s="32"/>
      <c r="H12" s="32"/>
      <c r="I12" s="32"/>
      <c r="J12" s="32"/>
      <c r="K12" s="32"/>
      <c r="L12" s="32"/>
      <c r="M12" s="32"/>
      <c r="N12" s="10"/>
    </row>
    <row r="13" spans="1:14" ht="20.100000000000001" hidden="1" customHeight="1" thickBot="1">
      <c r="A13" s="33"/>
      <c r="B13" s="26">
        <v>0</v>
      </c>
      <c r="C13" s="34"/>
      <c r="D13" s="28"/>
      <c r="E13" s="68"/>
      <c r="F13" s="39" t="s">
        <v>87</v>
      </c>
      <c r="G13" s="39" t="s">
        <v>88</v>
      </c>
      <c r="H13" s="39" t="s">
        <v>89</v>
      </c>
      <c r="I13" s="39" t="s">
        <v>90</v>
      </c>
      <c r="J13" s="39" t="s">
        <v>91</v>
      </c>
      <c r="K13" s="39" t="s">
        <v>92</v>
      </c>
      <c r="L13" s="39" t="s">
        <v>93</v>
      </c>
      <c r="M13" s="39" t="s">
        <v>93</v>
      </c>
      <c r="N13" s="10"/>
    </row>
    <row r="14" spans="1:14" ht="20.100000000000001" hidden="1" customHeight="1" thickTop="1">
      <c r="A14" s="161" t="s">
        <v>21</v>
      </c>
      <c r="B14" s="17">
        <v>0</v>
      </c>
      <c r="C14" s="35" t="str">
        <f>$C$7</f>
        <v>Sopa</v>
      </c>
      <c r="D14" s="28"/>
      <c r="E14" s="69"/>
      <c r="F14" s="40"/>
      <c r="G14" s="40"/>
      <c r="H14" s="40"/>
      <c r="I14" s="40"/>
      <c r="J14" s="40"/>
      <c r="K14" s="40"/>
      <c r="L14" s="40"/>
      <c r="M14" s="40"/>
      <c r="N14" s="10"/>
    </row>
    <row r="15" spans="1:14" ht="20.100000000000001" hidden="1" customHeight="1">
      <c r="A15" s="170"/>
      <c r="B15" s="26">
        <v>0</v>
      </c>
      <c r="C15" s="172" t="str">
        <f>$C$8</f>
        <v>Prato e Vegetais</v>
      </c>
      <c r="D15" s="28"/>
      <c r="E15" s="69"/>
      <c r="F15" s="168"/>
      <c r="G15" s="168"/>
      <c r="H15" s="168"/>
      <c r="I15" s="168"/>
      <c r="J15" s="168"/>
      <c r="K15" s="168"/>
      <c r="L15" s="168"/>
      <c r="M15" s="168"/>
      <c r="N15" s="10"/>
    </row>
    <row r="16" spans="1:14" ht="20.100000000000001" hidden="1" customHeight="1">
      <c r="A16" s="170"/>
      <c r="B16" s="17">
        <v>0</v>
      </c>
      <c r="C16" s="172">
        <f>$C$9</f>
        <v>0</v>
      </c>
      <c r="D16" s="28"/>
      <c r="E16" s="69"/>
      <c r="F16" s="169"/>
      <c r="G16" s="169"/>
      <c r="H16" s="169"/>
      <c r="I16" s="169"/>
      <c r="J16" s="169"/>
      <c r="K16" s="169"/>
      <c r="L16" s="169"/>
      <c r="M16" s="169"/>
      <c r="N16" s="10"/>
    </row>
    <row r="17" spans="1:14" ht="20.100000000000001" hidden="1" customHeight="1">
      <c r="A17" s="170"/>
      <c r="B17" s="26">
        <v>0</v>
      </c>
      <c r="C17" s="36" t="str">
        <f>$C$10</f>
        <v>Sobremesa</v>
      </c>
      <c r="D17" s="28"/>
      <c r="E17" s="69"/>
      <c r="F17" s="40"/>
      <c r="G17" s="40"/>
      <c r="H17" s="40"/>
      <c r="I17" s="40"/>
      <c r="J17" s="40"/>
      <c r="K17" s="40"/>
      <c r="L17" s="40"/>
      <c r="M17" s="40"/>
      <c r="N17" s="10"/>
    </row>
    <row r="18" spans="1:14" ht="20.100000000000001" hidden="1" customHeight="1">
      <c r="A18" s="170"/>
      <c r="B18" s="17">
        <v>0</v>
      </c>
      <c r="C18" s="36" t="str">
        <f>$C$11</f>
        <v>Pão</v>
      </c>
      <c r="D18" s="28"/>
      <c r="E18" s="70"/>
      <c r="F18" s="163"/>
      <c r="G18" s="164"/>
      <c r="H18" s="164"/>
      <c r="I18" s="164"/>
      <c r="J18" s="164"/>
      <c r="K18" s="164"/>
      <c r="L18" s="164"/>
      <c r="M18" s="165"/>
      <c r="N18" s="10"/>
    </row>
    <row r="19" spans="1:14" ht="20.100000000000001" hidden="1" customHeight="1">
      <c r="A19" s="30"/>
      <c r="B19" s="26">
        <v>0</v>
      </c>
      <c r="C19" s="31">
        <v>0</v>
      </c>
      <c r="D19" s="28"/>
      <c r="E19" s="71"/>
      <c r="F19" s="32"/>
      <c r="G19" s="32"/>
      <c r="H19" s="32"/>
      <c r="I19" s="32"/>
      <c r="J19" s="32"/>
      <c r="K19" s="32"/>
      <c r="L19" s="32"/>
      <c r="M19" s="32"/>
      <c r="N19" s="10"/>
    </row>
    <row r="20" spans="1:14" ht="20.100000000000001" hidden="1" customHeight="1" thickBot="1">
      <c r="A20" s="33"/>
      <c r="B20" s="17">
        <v>0</v>
      </c>
      <c r="C20" s="34"/>
      <c r="D20" s="28"/>
      <c r="E20" s="68"/>
      <c r="F20" s="39" t="s">
        <v>87</v>
      </c>
      <c r="G20" s="39" t="s">
        <v>88</v>
      </c>
      <c r="H20" s="39" t="s">
        <v>89</v>
      </c>
      <c r="I20" s="39" t="s">
        <v>90</v>
      </c>
      <c r="J20" s="39" t="s">
        <v>91</v>
      </c>
      <c r="K20" s="39" t="s">
        <v>92</v>
      </c>
      <c r="L20" s="39" t="s">
        <v>93</v>
      </c>
      <c r="M20" s="39" t="s">
        <v>93</v>
      </c>
      <c r="N20" s="10"/>
    </row>
    <row r="21" spans="1:14" ht="20.100000000000001" hidden="1" customHeight="1" thickTop="1">
      <c r="A21" s="161" t="s">
        <v>22</v>
      </c>
      <c r="B21" s="26">
        <v>0</v>
      </c>
      <c r="C21" s="35" t="str">
        <f>$C$7</f>
        <v>Sopa</v>
      </c>
      <c r="D21" s="28"/>
      <c r="E21" s="69"/>
      <c r="F21" s="40"/>
      <c r="G21" s="40"/>
      <c r="H21" s="40"/>
      <c r="I21" s="40"/>
      <c r="J21" s="40"/>
      <c r="K21" s="40"/>
      <c r="L21" s="40"/>
      <c r="M21" s="40"/>
      <c r="N21" s="10"/>
    </row>
    <row r="22" spans="1:14" ht="20.100000000000001" hidden="1" customHeight="1">
      <c r="A22" s="170"/>
      <c r="B22" s="17">
        <v>0</v>
      </c>
      <c r="C22" s="172" t="str">
        <f>$C$8</f>
        <v>Prato e Vegetais</v>
      </c>
      <c r="D22" s="28"/>
      <c r="E22" s="69"/>
      <c r="F22" s="168"/>
      <c r="G22" s="168"/>
      <c r="H22" s="168"/>
      <c r="I22" s="168"/>
      <c r="J22" s="168"/>
      <c r="K22" s="168"/>
      <c r="L22" s="168"/>
      <c r="M22" s="168"/>
      <c r="N22" s="10"/>
    </row>
    <row r="23" spans="1:14" ht="20.100000000000001" hidden="1" customHeight="1">
      <c r="A23" s="170"/>
      <c r="B23" s="26">
        <v>0</v>
      </c>
      <c r="C23" s="172">
        <f>$C$9</f>
        <v>0</v>
      </c>
      <c r="D23" s="28"/>
      <c r="E23" s="69"/>
      <c r="F23" s="169"/>
      <c r="G23" s="169"/>
      <c r="H23" s="169"/>
      <c r="I23" s="169"/>
      <c r="J23" s="169"/>
      <c r="K23" s="169"/>
      <c r="L23" s="169"/>
      <c r="M23" s="169"/>
      <c r="N23" s="10"/>
    </row>
    <row r="24" spans="1:14" ht="20.100000000000001" hidden="1" customHeight="1">
      <c r="A24" s="170"/>
      <c r="B24" s="17">
        <v>0</v>
      </c>
      <c r="C24" s="36" t="str">
        <f>$C$10</f>
        <v>Sobremesa</v>
      </c>
      <c r="D24" s="28"/>
      <c r="E24" s="69"/>
      <c r="F24" s="40"/>
      <c r="G24" s="40"/>
      <c r="H24" s="40"/>
      <c r="I24" s="40"/>
      <c r="J24" s="40"/>
      <c r="K24" s="40"/>
      <c r="L24" s="40"/>
      <c r="M24" s="40"/>
      <c r="N24" s="10"/>
    </row>
    <row r="25" spans="1:14" ht="20.100000000000001" hidden="1" customHeight="1">
      <c r="A25" s="170"/>
      <c r="B25" s="26">
        <v>0</v>
      </c>
      <c r="C25" s="36" t="str">
        <f>$C$11</f>
        <v>Pão</v>
      </c>
      <c r="D25" s="28"/>
      <c r="E25" s="70"/>
      <c r="F25" s="163"/>
      <c r="G25" s="164"/>
      <c r="H25" s="164"/>
      <c r="I25" s="164"/>
      <c r="J25" s="164"/>
      <c r="K25" s="164"/>
      <c r="L25" s="164"/>
      <c r="M25" s="165"/>
      <c r="N25" s="10"/>
    </row>
    <row r="26" spans="1:14" ht="20.100000000000001" hidden="1" customHeight="1">
      <c r="A26" s="30"/>
      <c r="B26" s="17">
        <v>0</v>
      </c>
      <c r="C26" s="31">
        <v>0</v>
      </c>
      <c r="D26" s="28"/>
      <c r="E26" s="71"/>
      <c r="F26" s="32"/>
      <c r="G26" s="32"/>
      <c r="H26" s="32"/>
      <c r="I26" s="32"/>
      <c r="J26" s="32"/>
      <c r="K26" s="32"/>
      <c r="L26" s="32"/>
      <c r="M26" s="32"/>
      <c r="N26" s="10"/>
    </row>
    <row r="27" spans="1:14" ht="24.75" hidden="1" customHeight="1" thickBot="1">
      <c r="A27" s="33"/>
      <c r="B27" s="26">
        <v>0</v>
      </c>
      <c r="C27" s="34"/>
      <c r="D27" s="28"/>
      <c r="E27" s="68"/>
      <c r="F27" s="39" t="s">
        <v>87</v>
      </c>
      <c r="G27" s="39" t="s">
        <v>88</v>
      </c>
      <c r="H27" s="39" t="s">
        <v>89</v>
      </c>
      <c r="I27" s="39" t="s">
        <v>90</v>
      </c>
      <c r="J27" s="39" t="s">
        <v>91</v>
      </c>
      <c r="K27" s="39" t="s">
        <v>92</v>
      </c>
      <c r="L27" s="39" t="s">
        <v>93</v>
      </c>
      <c r="M27" s="39" t="s">
        <v>93</v>
      </c>
      <c r="N27" s="10"/>
    </row>
    <row r="28" spans="1:14" ht="20.100000000000001" hidden="1" customHeight="1" thickTop="1">
      <c r="A28" s="161" t="s">
        <v>23</v>
      </c>
      <c r="B28" s="17">
        <v>0</v>
      </c>
      <c r="C28" s="35" t="str">
        <f>$C$7</f>
        <v>Sopa</v>
      </c>
      <c r="D28" s="28"/>
      <c r="E28" s="69"/>
      <c r="F28" s="40"/>
      <c r="G28" s="40"/>
      <c r="H28" s="40"/>
      <c r="I28" s="40"/>
      <c r="J28" s="40"/>
      <c r="K28" s="40"/>
      <c r="L28" s="40"/>
      <c r="M28" s="40"/>
      <c r="N28" s="10"/>
    </row>
    <row r="29" spans="1:14" ht="24.75" hidden="1" customHeight="1">
      <c r="A29" s="170"/>
      <c r="B29" s="26">
        <v>0</v>
      </c>
      <c r="C29" s="171" t="str">
        <f>$C$8</f>
        <v>Prato e Vegetais</v>
      </c>
      <c r="D29" s="28"/>
      <c r="E29" s="69"/>
      <c r="F29" s="168"/>
      <c r="G29" s="168"/>
      <c r="H29" s="168"/>
      <c r="I29" s="168"/>
      <c r="J29" s="168"/>
      <c r="K29" s="168"/>
      <c r="L29" s="168"/>
      <c r="M29" s="168"/>
      <c r="N29" s="10"/>
    </row>
    <row r="30" spans="1:14" ht="20.100000000000001" hidden="1" customHeight="1">
      <c r="A30" s="170"/>
      <c r="B30" s="17">
        <v>0</v>
      </c>
      <c r="C30" s="171">
        <f>$C$9</f>
        <v>0</v>
      </c>
      <c r="D30" s="28"/>
      <c r="E30" s="69"/>
      <c r="F30" s="169"/>
      <c r="G30" s="169"/>
      <c r="H30" s="169"/>
      <c r="I30" s="169"/>
      <c r="J30" s="169"/>
      <c r="K30" s="169"/>
      <c r="L30" s="169"/>
      <c r="M30" s="169"/>
      <c r="N30" s="10"/>
    </row>
    <row r="31" spans="1:14" ht="20.100000000000001" hidden="1" customHeight="1">
      <c r="A31" s="170"/>
      <c r="B31" s="26">
        <v>0</v>
      </c>
      <c r="C31" s="36" t="str">
        <f>$C$10</f>
        <v>Sobremesa</v>
      </c>
      <c r="D31" s="28"/>
      <c r="E31" s="69"/>
      <c r="F31" s="40"/>
      <c r="G31" s="40"/>
      <c r="H31" s="40"/>
      <c r="I31" s="40"/>
      <c r="J31" s="40"/>
      <c r="K31" s="40"/>
      <c r="L31" s="40"/>
      <c r="M31" s="40"/>
      <c r="N31" s="10"/>
    </row>
    <row r="32" spans="1:14" ht="20.100000000000001" hidden="1" customHeight="1">
      <c r="A32" s="170"/>
      <c r="B32" s="17">
        <v>0</v>
      </c>
      <c r="C32" s="36" t="str">
        <f>$C$11</f>
        <v>Pão</v>
      </c>
      <c r="D32" s="28"/>
      <c r="E32" s="70"/>
      <c r="F32" s="163"/>
      <c r="G32" s="164"/>
      <c r="H32" s="164"/>
      <c r="I32" s="164"/>
      <c r="J32" s="164"/>
      <c r="K32" s="164"/>
      <c r="L32" s="164"/>
      <c r="M32" s="165"/>
      <c r="N32" s="10"/>
    </row>
    <row r="33" spans="1:15" ht="20.100000000000001" hidden="1" customHeight="1">
      <c r="A33" s="30"/>
      <c r="B33" s="26">
        <v>0</v>
      </c>
      <c r="C33" s="31">
        <v>0</v>
      </c>
      <c r="D33" s="28"/>
      <c r="E33" s="71"/>
      <c r="F33" s="32"/>
      <c r="G33" s="32"/>
      <c r="H33" s="32"/>
      <c r="I33" s="32"/>
      <c r="J33" s="32"/>
      <c r="K33" s="32"/>
      <c r="L33" s="32"/>
      <c r="M33" s="32"/>
      <c r="N33" s="10"/>
    </row>
    <row r="34" spans="1:15" ht="20.100000000000001" hidden="1" customHeight="1" thickBot="1">
      <c r="A34" s="33"/>
      <c r="B34" s="17">
        <v>0</v>
      </c>
      <c r="C34" s="34"/>
      <c r="D34" s="28"/>
      <c r="E34" s="68"/>
      <c r="F34" s="39" t="s">
        <v>87</v>
      </c>
      <c r="G34" s="39" t="s">
        <v>88</v>
      </c>
      <c r="H34" s="39" t="s">
        <v>89</v>
      </c>
      <c r="I34" s="39" t="s">
        <v>90</v>
      </c>
      <c r="J34" s="39" t="s">
        <v>91</v>
      </c>
      <c r="K34" s="39" t="s">
        <v>92</v>
      </c>
      <c r="L34" s="39" t="s">
        <v>93</v>
      </c>
      <c r="M34" s="39" t="s">
        <v>93</v>
      </c>
      <c r="N34" s="10"/>
    </row>
    <row r="35" spans="1:15" ht="20.100000000000001" hidden="1" customHeight="1" thickTop="1">
      <c r="A35" s="161" t="s">
        <v>24</v>
      </c>
      <c r="B35" s="26">
        <v>0</v>
      </c>
      <c r="C35" s="35" t="str">
        <f>$C$7</f>
        <v>Sopa</v>
      </c>
      <c r="D35" s="28"/>
      <c r="E35" s="69"/>
      <c r="F35" s="40"/>
      <c r="G35" s="40"/>
      <c r="H35" s="40"/>
      <c r="I35" s="40"/>
      <c r="J35" s="40"/>
      <c r="K35" s="40"/>
      <c r="L35" s="40"/>
      <c r="M35" s="40"/>
      <c r="N35" s="10"/>
    </row>
    <row r="36" spans="1:15" ht="18" hidden="1">
      <c r="A36" s="170"/>
      <c r="B36" s="17">
        <v>0</v>
      </c>
      <c r="C36" s="171" t="str">
        <f>$C$8</f>
        <v>Prato e Vegetais</v>
      </c>
      <c r="D36" s="28"/>
      <c r="E36" s="69"/>
      <c r="F36" s="168"/>
      <c r="G36" s="168"/>
      <c r="H36" s="168"/>
      <c r="I36" s="168"/>
      <c r="J36" s="168"/>
      <c r="K36" s="168"/>
      <c r="L36" s="168"/>
      <c r="M36" s="168"/>
      <c r="N36" s="10"/>
    </row>
    <row r="37" spans="1:15" ht="20.100000000000001" hidden="1" customHeight="1">
      <c r="A37" s="170"/>
      <c r="B37" s="26">
        <v>0</v>
      </c>
      <c r="C37" s="171">
        <f>$C$9</f>
        <v>0</v>
      </c>
      <c r="D37" s="28"/>
      <c r="E37" s="69"/>
      <c r="F37" s="169"/>
      <c r="G37" s="169"/>
      <c r="H37" s="169"/>
      <c r="I37" s="169"/>
      <c r="J37" s="169"/>
      <c r="K37" s="169"/>
      <c r="L37" s="169"/>
      <c r="M37" s="169"/>
      <c r="N37" s="10"/>
    </row>
    <row r="38" spans="1:15" ht="20.100000000000001" hidden="1" customHeight="1">
      <c r="A38" s="170"/>
      <c r="B38" s="17">
        <v>0</v>
      </c>
      <c r="C38" s="36" t="str">
        <f>$C$10</f>
        <v>Sobremesa</v>
      </c>
      <c r="D38" s="28"/>
      <c r="E38" s="69"/>
      <c r="F38" s="40"/>
      <c r="G38" s="40"/>
      <c r="H38" s="40"/>
      <c r="I38" s="40"/>
      <c r="J38" s="40"/>
      <c r="K38" s="40"/>
      <c r="L38" s="40"/>
      <c r="M38" s="40"/>
      <c r="N38" s="10"/>
    </row>
    <row r="39" spans="1:15" ht="20.100000000000001" hidden="1" customHeight="1">
      <c r="A39" s="170"/>
      <c r="B39" s="26">
        <v>0</v>
      </c>
      <c r="C39" s="36" t="str">
        <f>$C$11</f>
        <v>Pão</v>
      </c>
      <c r="D39" s="28"/>
      <c r="E39" s="70"/>
      <c r="F39" s="163"/>
      <c r="G39" s="164"/>
      <c r="H39" s="164"/>
      <c r="I39" s="164"/>
      <c r="J39" s="164"/>
      <c r="K39" s="164"/>
      <c r="L39" s="164"/>
      <c r="M39" s="165"/>
      <c r="N39" s="10"/>
    </row>
    <row r="40" spans="1:15" ht="123" hidden="1" customHeight="1">
      <c r="A40" s="166" t="s">
        <v>96</v>
      </c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0"/>
    </row>
    <row r="41" spans="1:15" ht="39.950000000000003" customHeight="1">
      <c r="B41" s="26">
        <v>0</v>
      </c>
      <c r="C41" s="63" t="s">
        <v>102</v>
      </c>
      <c r="D41" s="24"/>
      <c r="E41" s="72" t="s">
        <v>376</v>
      </c>
      <c r="F41" s="37"/>
      <c r="G41" s="37"/>
      <c r="H41" s="37"/>
      <c r="I41" s="37"/>
      <c r="J41" s="37"/>
      <c r="K41" s="37"/>
      <c r="L41" s="37"/>
      <c r="M41" s="37"/>
      <c r="N41" s="1"/>
    </row>
    <row r="42" spans="1:15" ht="19.5" thickBot="1">
      <c r="B42" s="17">
        <v>0</v>
      </c>
      <c r="E42" s="68"/>
      <c r="F42" s="39" t="s">
        <v>87</v>
      </c>
      <c r="G42" s="39" t="s">
        <v>88</v>
      </c>
      <c r="H42" s="39" t="s">
        <v>89</v>
      </c>
      <c r="I42" s="39" t="s">
        <v>90</v>
      </c>
      <c r="J42" s="39" t="s">
        <v>91</v>
      </c>
      <c r="K42" s="39" t="s">
        <v>476</v>
      </c>
      <c r="L42" s="39" t="s">
        <v>477</v>
      </c>
      <c r="M42" s="39" t="s">
        <v>93</v>
      </c>
      <c r="N42" s="3"/>
    </row>
    <row r="43" spans="1:15" ht="20.100000000000001" customHeight="1" thickTop="1">
      <c r="A43" s="161" t="s">
        <v>16</v>
      </c>
      <c r="B43" s="26">
        <v>0</v>
      </c>
      <c r="C43" s="27" t="s">
        <v>17</v>
      </c>
      <c r="D43" s="28"/>
      <c r="E43" s="69" t="s">
        <v>444</v>
      </c>
      <c r="F43" s="62">
        <v>427.7</v>
      </c>
      <c r="G43" s="62">
        <v>102.2</v>
      </c>
      <c r="H43" s="62">
        <v>3.4</v>
      </c>
      <c r="I43" s="62">
        <v>0.5</v>
      </c>
      <c r="J43" s="62">
        <v>14.6</v>
      </c>
      <c r="K43" s="62">
        <v>3.4</v>
      </c>
      <c r="L43" s="62">
        <v>3</v>
      </c>
      <c r="M43" s="62">
        <v>0.4</v>
      </c>
      <c r="N43" s="15" t="s">
        <v>55</v>
      </c>
    </row>
    <row r="44" spans="1:15" ht="20.100000000000001" customHeight="1">
      <c r="A44" s="162"/>
      <c r="B44" s="17">
        <v>0</v>
      </c>
      <c r="C44" s="42" t="s">
        <v>18</v>
      </c>
      <c r="D44" s="28"/>
      <c r="E44" s="70" t="s">
        <v>393</v>
      </c>
      <c r="F44" s="60">
        <v>1504.6</v>
      </c>
      <c r="G44" s="60">
        <v>359.5</v>
      </c>
      <c r="H44" s="60">
        <v>1</v>
      </c>
      <c r="I44" s="60">
        <v>0.5</v>
      </c>
      <c r="J44" s="60">
        <v>70</v>
      </c>
      <c r="K44" s="60">
        <v>9.1999999999999993</v>
      </c>
      <c r="L44" s="60">
        <v>15.8</v>
      </c>
      <c r="M44" s="60">
        <v>0.3</v>
      </c>
      <c r="N44" s="15" t="s">
        <v>55</v>
      </c>
    </row>
    <row r="45" spans="1:15" ht="20.100000000000001" customHeight="1">
      <c r="A45" s="162"/>
      <c r="B45" s="26">
        <v>0</v>
      </c>
      <c r="C45" s="42" t="s">
        <v>373</v>
      </c>
      <c r="D45" s="28"/>
      <c r="E45" s="69" t="s">
        <v>114</v>
      </c>
      <c r="F45" s="40">
        <f>20+25.6+40</f>
        <v>85.6</v>
      </c>
      <c r="G45" s="40">
        <f>4.8+6.1+9.6</f>
        <v>20.5</v>
      </c>
      <c r="H45" s="40">
        <f>0.1+0.2+0.2</f>
        <v>0.5</v>
      </c>
      <c r="I45" s="40">
        <v>0.1</v>
      </c>
      <c r="J45" s="40">
        <f>0.3+0.6+1.8</f>
        <v>2.7</v>
      </c>
      <c r="K45" s="40">
        <f>0.3+0.6+1.8</f>
        <v>2.7</v>
      </c>
      <c r="L45" s="40">
        <f>0.7+0.5+0.4</f>
        <v>1.6</v>
      </c>
      <c r="M45" s="40">
        <v>0</v>
      </c>
      <c r="N45" s="15" t="s">
        <v>55</v>
      </c>
      <c r="O45" s="43"/>
    </row>
    <row r="46" spans="1:15" ht="20.100000000000001" customHeight="1">
      <c r="A46" s="162"/>
      <c r="B46" s="17">
        <v>0</v>
      </c>
      <c r="C46" s="29" t="s">
        <v>19</v>
      </c>
      <c r="D46" s="28"/>
      <c r="E46" s="69" t="s">
        <v>26</v>
      </c>
      <c r="F46" s="40">
        <v>319.7</v>
      </c>
      <c r="G46" s="61">
        <v>76.400000000000006</v>
      </c>
      <c r="H46" s="61">
        <v>0.5</v>
      </c>
      <c r="I46" s="61">
        <v>0.2</v>
      </c>
      <c r="J46" s="61">
        <v>16.899999999999999</v>
      </c>
      <c r="K46" s="61">
        <v>16.7</v>
      </c>
      <c r="L46" s="61">
        <v>1.1000000000000001</v>
      </c>
      <c r="M46" s="61">
        <v>0</v>
      </c>
      <c r="N46" s="15" t="s">
        <v>55</v>
      </c>
    </row>
    <row r="47" spans="1:15" ht="20.100000000000001" customHeight="1">
      <c r="A47" s="162"/>
      <c r="B47" s="26">
        <v>0</v>
      </c>
      <c r="C47" s="29" t="s">
        <v>20</v>
      </c>
      <c r="D47" s="28"/>
      <c r="E47" s="70" t="s">
        <v>25</v>
      </c>
      <c r="F47" s="163" t="s">
        <v>95</v>
      </c>
      <c r="G47" s="164"/>
      <c r="H47" s="164"/>
      <c r="I47" s="164"/>
      <c r="J47" s="164"/>
      <c r="K47" s="164"/>
      <c r="L47" s="164"/>
      <c r="M47" s="165"/>
      <c r="N47" s="14"/>
    </row>
    <row r="48" spans="1:15" ht="20.100000000000001" customHeight="1">
      <c r="A48" s="30"/>
      <c r="B48" s="17">
        <v>0</v>
      </c>
      <c r="C48" s="31">
        <v>0</v>
      </c>
      <c r="D48" s="28"/>
      <c r="E48" s="71"/>
      <c r="F48" s="32"/>
      <c r="G48" s="32"/>
      <c r="H48" s="32"/>
      <c r="I48" s="32"/>
      <c r="J48" s="32"/>
      <c r="K48" s="32"/>
      <c r="L48" s="32"/>
      <c r="M48" s="32"/>
      <c r="N48" s="4"/>
    </row>
    <row r="49" spans="1:14" ht="20.100000000000001" customHeight="1" thickBot="1">
      <c r="A49" s="33"/>
      <c r="B49" s="26">
        <v>0</v>
      </c>
      <c r="C49" s="34"/>
      <c r="D49" s="28"/>
      <c r="E49" s="68"/>
      <c r="F49" s="39" t="s">
        <v>87</v>
      </c>
      <c r="G49" s="39" t="s">
        <v>88</v>
      </c>
      <c r="H49" s="39" t="s">
        <v>89</v>
      </c>
      <c r="I49" s="39" t="s">
        <v>90</v>
      </c>
      <c r="J49" s="39" t="s">
        <v>91</v>
      </c>
      <c r="K49" s="39" t="s">
        <v>476</v>
      </c>
      <c r="L49" s="39" t="s">
        <v>477</v>
      </c>
      <c r="M49" s="39" t="s">
        <v>93</v>
      </c>
      <c r="N49" s="11"/>
    </row>
    <row r="50" spans="1:14" ht="20.100000000000001" customHeight="1" thickTop="1">
      <c r="A50" s="161" t="s">
        <v>21</v>
      </c>
      <c r="B50" s="17">
        <v>0</v>
      </c>
      <c r="C50" s="35" t="str">
        <f>$C$7</f>
        <v>Sopa</v>
      </c>
      <c r="D50" s="28"/>
      <c r="E50" s="70" t="s">
        <v>27</v>
      </c>
      <c r="F50" s="60">
        <v>470.2</v>
      </c>
      <c r="G50" s="60">
        <v>112.4</v>
      </c>
      <c r="H50" s="60">
        <v>3.3</v>
      </c>
      <c r="I50" s="60">
        <v>0.5</v>
      </c>
      <c r="J50" s="60">
        <v>17.2</v>
      </c>
      <c r="K50" s="60">
        <v>5.6</v>
      </c>
      <c r="L50" s="60">
        <v>3.3</v>
      </c>
      <c r="M50" s="60">
        <v>0.2</v>
      </c>
      <c r="N50" s="15" t="s">
        <v>55</v>
      </c>
    </row>
    <row r="51" spans="1:14" ht="35.25" customHeight="1">
      <c r="A51" s="162"/>
      <c r="B51" s="26">
        <v>0</v>
      </c>
      <c r="C51" s="42" t="s">
        <v>18</v>
      </c>
      <c r="D51" s="28"/>
      <c r="E51" s="69" t="s">
        <v>394</v>
      </c>
      <c r="F51" s="60">
        <f>850.9+1300.2</f>
        <v>2151.1</v>
      </c>
      <c r="G51" s="60">
        <f>203.7+310.7</f>
        <v>514.4</v>
      </c>
      <c r="H51" s="60">
        <f>4.1+3.3</f>
        <v>7.3999999999999995</v>
      </c>
      <c r="I51" s="60">
        <f>0.7+0.5</f>
        <v>1.2</v>
      </c>
      <c r="J51" s="60">
        <f>27.3+62.8</f>
        <v>90.1</v>
      </c>
      <c r="K51" s="60">
        <f>2.3+0.2</f>
        <v>2.5</v>
      </c>
      <c r="L51" s="60">
        <f>13.7+5.5</f>
        <v>19.2</v>
      </c>
      <c r="M51" s="60">
        <v>0.2</v>
      </c>
      <c r="N51" s="15" t="s">
        <v>55</v>
      </c>
    </row>
    <row r="52" spans="1:14" ht="20.100000000000001" customHeight="1">
      <c r="A52" s="162"/>
      <c r="B52" s="17">
        <v>0</v>
      </c>
      <c r="C52" s="42" t="s">
        <v>373</v>
      </c>
      <c r="D52" s="28"/>
      <c r="E52" s="69" t="s">
        <v>28</v>
      </c>
      <c r="F52" s="40">
        <f>20+25.6+40</f>
        <v>85.6</v>
      </c>
      <c r="G52" s="40">
        <f>4.8+6.1+9.6</f>
        <v>20.5</v>
      </c>
      <c r="H52" s="40">
        <f>0.1+0.2+0.2</f>
        <v>0.5</v>
      </c>
      <c r="I52" s="40">
        <v>0.1</v>
      </c>
      <c r="J52" s="40">
        <f>0.3+0.6+1.8</f>
        <v>2.7</v>
      </c>
      <c r="K52" s="40">
        <f>0.3+0.6+1.8</f>
        <v>2.7</v>
      </c>
      <c r="L52" s="40">
        <f>0.7+0.5+0.4</f>
        <v>1.6</v>
      </c>
      <c r="M52" s="40">
        <v>0</v>
      </c>
      <c r="N52" s="15" t="s">
        <v>55</v>
      </c>
    </row>
    <row r="53" spans="1:14" ht="20.100000000000001" customHeight="1">
      <c r="A53" s="162"/>
      <c r="B53" s="26">
        <v>0</v>
      </c>
      <c r="C53" s="36" t="str">
        <f>$C$10</f>
        <v>Sobremesa</v>
      </c>
      <c r="D53" s="28"/>
      <c r="E53" s="78" t="s">
        <v>26</v>
      </c>
      <c r="F53" s="40">
        <v>319.7</v>
      </c>
      <c r="G53" s="61">
        <v>76.400000000000006</v>
      </c>
      <c r="H53" s="61">
        <v>0.5</v>
      </c>
      <c r="I53" s="61">
        <v>0.2</v>
      </c>
      <c r="J53" s="61">
        <v>16.899999999999999</v>
      </c>
      <c r="K53" s="61">
        <v>16.7</v>
      </c>
      <c r="L53" s="61">
        <v>1.1000000000000001</v>
      </c>
      <c r="M53" s="61">
        <v>0</v>
      </c>
      <c r="N53" s="15" t="s">
        <v>55</v>
      </c>
    </row>
    <row r="54" spans="1:14" ht="20.100000000000001" customHeight="1">
      <c r="A54" s="162"/>
      <c r="B54" s="17">
        <v>0</v>
      </c>
      <c r="C54" s="36" t="str">
        <f>$C$11</f>
        <v>Pão</v>
      </c>
      <c r="D54" s="28"/>
      <c r="E54" s="70" t="s">
        <v>25</v>
      </c>
      <c r="F54" s="163" t="s">
        <v>95</v>
      </c>
      <c r="G54" s="164"/>
      <c r="H54" s="164"/>
      <c r="I54" s="164"/>
      <c r="J54" s="164"/>
      <c r="K54" s="164"/>
      <c r="L54" s="164"/>
      <c r="M54" s="165"/>
      <c r="N54" s="14"/>
    </row>
    <row r="55" spans="1:14" ht="29.25" customHeight="1">
      <c r="A55" s="30"/>
      <c r="B55" s="26">
        <v>0</v>
      </c>
      <c r="C55" s="31"/>
      <c r="D55" s="28"/>
      <c r="E55" s="73"/>
      <c r="F55" s="32"/>
      <c r="G55" s="32"/>
      <c r="H55" s="32"/>
      <c r="I55" s="32"/>
      <c r="J55" s="32"/>
      <c r="K55" s="32"/>
      <c r="L55" s="32"/>
      <c r="M55" s="32"/>
      <c r="N55" s="4"/>
    </row>
    <row r="56" spans="1:14" ht="20.100000000000001" customHeight="1" thickBot="1">
      <c r="A56" s="33"/>
      <c r="B56" s="17">
        <v>0</v>
      </c>
      <c r="C56" s="34"/>
      <c r="D56" s="28"/>
      <c r="E56" s="68"/>
      <c r="F56" s="39" t="s">
        <v>87</v>
      </c>
      <c r="G56" s="39" t="s">
        <v>88</v>
      </c>
      <c r="H56" s="39" t="s">
        <v>89</v>
      </c>
      <c r="I56" s="39" t="s">
        <v>90</v>
      </c>
      <c r="J56" s="39" t="s">
        <v>91</v>
      </c>
      <c r="K56" s="39" t="s">
        <v>476</v>
      </c>
      <c r="L56" s="39" t="s">
        <v>477</v>
      </c>
      <c r="M56" s="39" t="s">
        <v>93</v>
      </c>
      <c r="N56" s="11"/>
    </row>
    <row r="57" spans="1:14" ht="20.100000000000001" customHeight="1" thickTop="1">
      <c r="A57" s="161" t="s">
        <v>22</v>
      </c>
      <c r="B57" s="26">
        <v>0</v>
      </c>
      <c r="C57" s="35" t="str">
        <f>$C$7</f>
        <v>Sopa</v>
      </c>
      <c r="D57" s="28"/>
      <c r="E57" s="78" t="s">
        <v>75</v>
      </c>
      <c r="F57" s="40">
        <v>867.6</v>
      </c>
      <c r="G57" s="40">
        <v>207.4</v>
      </c>
      <c r="H57" s="40">
        <v>3.7</v>
      </c>
      <c r="I57" s="40">
        <v>0.6</v>
      </c>
      <c r="J57" s="40">
        <v>31.3</v>
      </c>
      <c r="K57" s="40">
        <v>4.2</v>
      </c>
      <c r="L57" s="40">
        <v>11.5</v>
      </c>
      <c r="M57" s="40">
        <v>0.2</v>
      </c>
      <c r="N57" s="15" t="s">
        <v>55</v>
      </c>
    </row>
    <row r="58" spans="1:14" ht="46.5" customHeight="1">
      <c r="A58" s="162"/>
      <c r="B58" s="17">
        <v>0</v>
      </c>
      <c r="C58" s="42" t="s">
        <v>18</v>
      </c>
      <c r="D58" s="28"/>
      <c r="E58" s="69" t="s">
        <v>395</v>
      </c>
      <c r="F58" s="40">
        <v>2273.1</v>
      </c>
      <c r="G58" s="40">
        <v>543.20000000000005</v>
      </c>
      <c r="H58" s="40">
        <v>4.3</v>
      </c>
      <c r="I58" s="40">
        <v>0.5</v>
      </c>
      <c r="J58" s="40">
        <v>98.7</v>
      </c>
      <c r="K58" s="40">
        <v>8.1999999999999993</v>
      </c>
      <c r="L58" s="40">
        <v>24.9</v>
      </c>
      <c r="M58" s="40">
        <v>0.3</v>
      </c>
      <c r="N58" s="15" t="s">
        <v>55</v>
      </c>
    </row>
    <row r="59" spans="1:14" ht="20.100000000000001" customHeight="1">
      <c r="A59" s="162"/>
      <c r="B59" s="26">
        <v>0</v>
      </c>
      <c r="C59" s="42" t="s">
        <v>373</v>
      </c>
      <c r="D59" s="28"/>
      <c r="E59" s="69" t="s">
        <v>115</v>
      </c>
      <c r="F59" s="40">
        <f>20+30+40</f>
        <v>90</v>
      </c>
      <c r="G59" s="40">
        <f>4.8+7.2+9.6</f>
        <v>21.6</v>
      </c>
      <c r="H59" s="40">
        <v>0.3</v>
      </c>
      <c r="I59" s="40">
        <v>0</v>
      </c>
      <c r="J59" s="40">
        <f>0.3+1.4+1.8</f>
        <v>3.5</v>
      </c>
      <c r="K59" s="40">
        <f>0.3+1.4+1.8</f>
        <v>3.5</v>
      </c>
      <c r="L59" s="40">
        <f>0.7+0.4+0.4</f>
        <v>1.5</v>
      </c>
      <c r="M59" s="40">
        <v>0.1</v>
      </c>
      <c r="N59" s="15" t="s">
        <v>55</v>
      </c>
    </row>
    <row r="60" spans="1:14" ht="20.100000000000001" customHeight="1">
      <c r="A60" s="162"/>
      <c r="B60" s="17">
        <v>0</v>
      </c>
      <c r="C60" s="36" t="str">
        <f>$C$10</f>
        <v>Sobremesa</v>
      </c>
      <c r="D60" s="28"/>
      <c r="E60" s="69" t="s">
        <v>38</v>
      </c>
      <c r="F60" s="40">
        <v>319.7</v>
      </c>
      <c r="G60" s="61">
        <v>76.400000000000006</v>
      </c>
      <c r="H60" s="61">
        <v>0.5</v>
      </c>
      <c r="I60" s="61">
        <v>0.2</v>
      </c>
      <c r="J60" s="61">
        <v>16.899999999999999</v>
      </c>
      <c r="K60" s="61">
        <v>16.7</v>
      </c>
      <c r="L60" s="61">
        <v>1.1000000000000001</v>
      </c>
      <c r="M60" s="61">
        <v>0</v>
      </c>
      <c r="N60" s="15" t="s">
        <v>55</v>
      </c>
    </row>
    <row r="61" spans="1:14" ht="27.75" customHeight="1">
      <c r="A61" s="162"/>
      <c r="B61" s="26">
        <v>0</v>
      </c>
      <c r="C61" s="36" t="str">
        <f>$C$11</f>
        <v>Pão</v>
      </c>
      <c r="D61" s="28"/>
      <c r="E61" s="70" t="s">
        <v>25</v>
      </c>
      <c r="F61" s="163" t="s">
        <v>95</v>
      </c>
      <c r="G61" s="164"/>
      <c r="H61" s="164"/>
      <c r="I61" s="164"/>
      <c r="J61" s="164"/>
      <c r="K61" s="164"/>
      <c r="L61" s="164"/>
      <c r="M61" s="165"/>
      <c r="N61" s="14"/>
    </row>
    <row r="62" spans="1:14" ht="20.100000000000001" customHeight="1">
      <c r="A62" s="30"/>
      <c r="B62" s="17">
        <v>0</v>
      </c>
      <c r="C62" s="31"/>
      <c r="D62" s="28"/>
      <c r="E62" s="73"/>
      <c r="F62" s="32"/>
      <c r="G62" s="32"/>
      <c r="H62" s="32"/>
      <c r="I62" s="32"/>
      <c r="J62" s="32"/>
      <c r="K62" s="32"/>
      <c r="L62" s="32"/>
      <c r="M62" s="32"/>
      <c r="N62" s="4"/>
    </row>
    <row r="63" spans="1:14" ht="20.100000000000001" customHeight="1" thickBot="1">
      <c r="A63" s="33"/>
      <c r="B63" s="26">
        <v>0</v>
      </c>
      <c r="C63" s="34"/>
      <c r="D63" s="28"/>
      <c r="E63" s="71"/>
      <c r="F63" s="39" t="s">
        <v>87</v>
      </c>
      <c r="G63" s="39" t="s">
        <v>88</v>
      </c>
      <c r="H63" s="39" t="s">
        <v>89</v>
      </c>
      <c r="I63" s="39" t="s">
        <v>90</v>
      </c>
      <c r="J63" s="39" t="s">
        <v>91</v>
      </c>
      <c r="K63" s="39" t="s">
        <v>476</v>
      </c>
      <c r="L63" s="39" t="s">
        <v>477</v>
      </c>
      <c r="M63" s="39" t="s">
        <v>93</v>
      </c>
      <c r="N63" s="11"/>
    </row>
    <row r="64" spans="1:14" ht="20.100000000000001" customHeight="1" thickTop="1">
      <c r="A64" s="161" t="s">
        <v>23</v>
      </c>
      <c r="B64" s="17">
        <v>0</v>
      </c>
      <c r="C64" s="35" t="str">
        <f>$C$7</f>
        <v>Sopa</v>
      </c>
      <c r="D64" s="28"/>
      <c r="E64" s="69" t="s">
        <v>29</v>
      </c>
      <c r="F64" s="40">
        <v>465.7</v>
      </c>
      <c r="G64" s="40">
        <v>111.3</v>
      </c>
      <c r="H64" s="40">
        <v>3.6</v>
      </c>
      <c r="I64" s="40">
        <v>0.6</v>
      </c>
      <c r="J64" s="40">
        <v>15.8</v>
      </c>
      <c r="K64" s="40">
        <v>4.2</v>
      </c>
      <c r="L64" s="40">
        <v>3.8</v>
      </c>
      <c r="M64" s="40">
        <v>0.3</v>
      </c>
      <c r="N64" s="15" t="s">
        <v>55</v>
      </c>
    </row>
    <row r="65" spans="1:14" ht="36.75" customHeight="1">
      <c r="A65" s="162"/>
      <c r="B65" s="26">
        <v>0</v>
      </c>
      <c r="C65" s="42" t="s">
        <v>18</v>
      </c>
      <c r="D65" s="28"/>
      <c r="E65" s="69" t="s">
        <v>472</v>
      </c>
      <c r="F65" s="40">
        <v>1436.2</v>
      </c>
      <c r="G65" s="40">
        <v>343.1</v>
      </c>
      <c r="H65" s="40">
        <v>4.8</v>
      </c>
      <c r="I65" s="40">
        <v>3.6</v>
      </c>
      <c r="J65" s="40">
        <v>60.9</v>
      </c>
      <c r="K65" s="40">
        <v>5.6</v>
      </c>
      <c r="L65" s="40">
        <v>11.9</v>
      </c>
      <c r="M65" s="40">
        <v>0.1</v>
      </c>
      <c r="N65" s="15" t="s">
        <v>55</v>
      </c>
    </row>
    <row r="66" spans="1:14" ht="20.100000000000001" customHeight="1">
      <c r="A66" s="162"/>
      <c r="B66" s="17">
        <v>0</v>
      </c>
      <c r="C66" s="42" t="s">
        <v>373</v>
      </c>
      <c r="D66" s="28"/>
      <c r="E66" s="70" t="s">
        <v>460</v>
      </c>
      <c r="F66" s="40">
        <f>163.3+23+40</f>
        <v>226.3</v>
      </c>
      <c r="G66" s="40">
        <f>39.2+5.5+9.6</f>
        <v>54.300000000000004</v>
      </c>
      <c r="H66" s="40">
        <v>0.9</v>
      </c>
      <c r="I66" s="40">
        <v>0</v>
      </c>
      <c r="J66" s="40">
        <f>7.1+0.7+1.8</f>
        <v>9.6</v>
      </c>
      <c r="K66" s="40">
        <f>0.6+1.8</f>
        <v>2.4</v>
      </c>
      <c r="L66" s="40">
        <f>1.5+0.4+0.4</f>
        <v>2.2999999999999998</v>
      </c>
      <c r="M66" s="40">
        <v>0</v>
      </c>
      <c r="N66" s="15" t="s">
        <v>55</v>
      </c>
    </row>
    <row r="67" spans="1:14" ht="20.100000000000001" customHeight="1">
      <c r="A67" s="162"/>
      <c r="B67" s="26">
        <v>0</v>
      </c>
      <c r="C67" s="36" t="str">
        <f>$C$10</f>
        <v>Sobremesa</v>
      </c>
      <c r="D67" s="28"/>
      <c r="E67" s="69" t="s">
        <v>38</v>
      </c>
      <c r="F67" s="40">
        <v>319.7</v>
      </c>
      <c r="G67" s="61">
        <v>76.400000000000006</v>
      </c>
      <c r="H67" s="61">
        <v>0.5</v>
      </c>
      <c r="I67" s="61">
        <v>0.2</v>
      </c>
      <c r="J67" s="61">
        <v>16.899999999999999</v>
      </c>
      <c r="K67" s="61">
        <v>16.7</v>
      </c>
      <c r="L67" s="61">
        <v>1.1000000000000001</v>
      </c>
      <c r="M67" s="61">
        <v>0</v>
      </c>
      <c r="N67" s="15" t="s">
        <v>55</v>
      </c>
    </row>
    <row r="68" spans="1:14" ht="20.100000000000001" customHeight="1">
      <c r="A68" s="162"/>
      <c r="B68" s="17">
        <v>0</v>
      </c>
      <c r="C68" s="36" t="str">
        <f>$C$11</f>
        <v>Pão</v>
      </c>
      <c r="D68" s="28"/>
      <c r="E68" s="70" t="s">
        <v>25</v>
      </c>
      <c r="F68" s="163" t="s">
        <v>95</v>
      </c>
      <c r="G68" s="164"/>
      <c r="H68" s="164"/>
      <c r="I68" s="164"/>
      <c r="J68" s="164"/>
      <c r="K68" s="164"/>
      <c r="L68" s="164"/>
      <c r="M68" s="165"/>
      <c r="N68" s="14"/>
    </row>
    <row r="69" spans="1:14" ht="20.100000000000001" customHeight="1">
      <c r="A69" s="30"/>
      <c r="B69" s="26">
        <v>0</v>
      </c>
      <c r="C69" s="31"/>
      <c r="D69" s="28"/>
      <c r="E69" s="71"/>
      <c r="F69" s="32"/>
      <c r="G69" s="32"/>
      <c r="H69" s="32"/>
      <c r="I69" s="32"/>
      <c r="J69" s="32"/>
      <c r="K69" s="32"/>
      <c r="L69" s="32"/>
      <c r="M69" s="32"/>
      <c r="N69" s="4"/>
    </row>
    <row r="70" spans="1:14" ht="20.100000000000001" customHeight="1" thickBot="1">
      <c r="A70" s="33"/>
      <c r="B70" s="17">
        <v>0</v>
      </c>
      <c r="C70" s="34"/>
      <c r="D70" s="28"/>
      <c r="E70" s="68"/>
      <c r="F70" s="39" t="s">
        <v>87</v>
      </c>
      <c r="G70" s="39" t="s">
        <v>88</v>
      </c>
      <c r="H70" s="39" t="s">
        <v>89</v>
      </c>
      <c r="I70" s="39" t="s">
        <v>90</v>
      </c>
      <c r="J70" s="39" t="s">
        <v>91</v>
      </c>
      <c r="K70" s="39" t="s">
        <v>476</v>
      </c>
      <c r="L70" s="39" t="s">
        <v>477</v>
      </c>
      <c r="M70" s="39" t="s">
        <v>93</v>
      </c>
      <c r="N70" s="11"/>
    </row>
    <row r="71" spans="1:14" ht="20.100000000000001" customHeight="1" thickTop="1">
      <c r="A71" s="161" t="s">
        <v>24</v>
      </c>
      <c r="B71" s="26">
        <v>0</v>
      </c>
      <c r="C71" s="35" t="str">
        <f>$C$7</f>
        <v>Sopa</v>
      </c>
      <c r="D71" s="28"/>
      <c r="E71" s="69" t="s">
        <v>445</v>
      </c>
      <c r="F71" s="40">
        <v>979.8</v>
      </c>
      <c r="G71" s="40">
        <v>234.2</v>
      </c>
      <c r="H71" s="40">
        <v>5.0999999999999996</v>
      </c>
      <c r="I71" s="40">
        <v>0.6</v>
      </c>
      <c r="J71" s="40">
        <v>35.700000000000003</v>
      </c>
      <c r="K71" s="40">
        <v>5</v>
      </c>
      <c r="L71" s="40">
        <v>10.6</v>
      </c>
      <c r="M71" s="40">
        <v>0.2</v>
      </c>
      <c r="N71" s="15" t="s">
        <v>55</v>
      </c>
    </row>
    <row r="72" spans="1:14" ht="33.75" customHeight="1">
      <c r="A72" s="162"/>
      <c r="B72" s="17">
        <v>0</v>
      </c>
      <c r="C72" s="42" t="s">
        <v>18</v>
      </c>
      <c r="D72" s="28"/>
      <c r="E72" s="78" t="s">
        <v>396</v>
      </c>
      <c r="F72" s="60">
        <v>397.4</v>
      </c>
      <c r="G72" s="60">
        <f>95.1+240.7</f>
        <v>335.79999999999995</v>
      </c>
      <c r="H72" s="60">
        <v>3.8</v>
      </c>
      <c r="I72" s="60">
        <v>0.5</v>
      </c>
      <c r="J72" s="60">
        <f>10.6+51.8</f>
        <v>62.4</v>
      </c>
      <c r="K72" s="60">
        <f>6+3.2</f>
        <v>9.1999999999999993</v>
      </c>
      <c r="L72" s="60">
        <f>4.8+6.8</f>
        <v>11.6</v>
      </c>
      <c r="M72" s="60">
        <v>0.4</v>
      </c>
      <c r="N72" s="15" t="s">
        <v>55</v>
      </c>
    </row>
    <row r="73" spans="1:14" ht="20.100000000000001" customHeight="1">
      <c r="A73" s="162"/>
      <c r="B73" s="26">
        <v>0</v>
      </c>
      <c r="C73" s="42" t="s">
        <v>373</v>
      </c>
      <c r="D73" s="28"/>
      <c r="E73" s="69" t="s">
        <v>33</v>
      </c>
      <c r="F73" s="40">
        <f>20+30+32.4</f>
        <v>82.4</v>
      </c>
      <c r="G73" s="40">
        <f>4.8+7.2+7.7</f>
        <v>19.7</v>
      </c>
      <c r="H73" s="40">
        <v>0.2</v>
      </c>
      <c r="I73" s="40">
        <v>0</v>
      </c>
      <c r="J73" s="40">
        <f>0.3+1.4+1.8</f>
        <v>3.5</v>
      </c>
      <c r="K73" s="40">
        <f>0.3+1.4+1.6</f>
        <v>3.3</v>
      </c>
      <c r="L73" s="40">
        <f>0.7+0.4+0.2</f>
        <v>1.3</v>
      </c>
      <c r="M73" s="40">
        <v>0.2</v>
      </c>
      <c r="N73" s="15" t="s">
        <v>55</v>
      </c>
    </row>
    <row r="74" spans="1:14" ht="20.100000000000001" customHeight="1">
      <c r="A74" s="162"/>
      <c r="B74" s="17">
        <v>0</v>
      </c>
      <c r="C74" s="36" t="str">
        <f>$C$10</f>
        <v>Sobremesa</v>
      </c>
      <c r="D74" s="28"/>
      <c r="E74" s="69" t="s">
        <v>42</v>
      </c>
      <c r="F74" s="40" t="s">
        <v>478</v>
      </c>
      <c r="G74" s="61" t="s">
        <v>479</v>
      </c>
      <c r="H74" s="61" t="s">
        <v>480</v>
      </c>
      <c r="I74" s="61" t="s">
        <v>481</v>
      </c>
      <c r="J74" s="61" t="s">
        <v>482</v>
      </c>
      <c r="K74" s="61" t="s">
        <v>483</v>
      </c>
      <c r="L74" s="61" t="s">
        <v>484</v>
      </c>
      <c r="M74" s="61" t="s">
        <v>485</v>
      </c>
      <c r="N74" s="15" t="s">
        <v>55</v>
      </c>
    </row>
    <row r="75" spans="1:14" ht="20.100000000000001" customHeight="1">
      <c r="A75" s="162"/>
      <c r="B75" s="26">
        <v>0</v>
      </c>
      <c r="C75" s="36" t="str">
        <f>$C$11</f>
        <v>Pão</v>
      </c>
      <c r="D75" s="28"/>
      <c r="E75" s="70" t="s">
        <v>25</v>
      </c>
      <c r="F75" s="163" t="s">
        <v>95</v>
      </c>
      <c r="G75" s="164"/>
      <c r="H75" s="164"/>
      <c r="I75" s="164"/>
      <c r="J75" s="164"/>
      <c r="K75" s="164"/>
      <c r="L75" s="164"/>
      <c r="M75" s="165"/>
      <c r="N75" s="14"/>
    </row>
    <row r="76" spans="1:14" ht="123" customHeight="1">
      <c r="A76" s="166" t="str">
        <f>+A$40</f>
        <v xml:space="preserve">
A sua refeição contém ou pode conter as seguintes substâncias ou produtos e seus derivados: 1Cereais que contêm glúten, 2Crustáceos , 3Ovos, 4Peixes, 5Amendoins, 6Soja, 7Leite, 8Frutos de casca rija, 9Aipo, 10Mostarda, 11Sementes de sésamo, 12Dióxido de enxofre e sulfitos, 13Tremoço, 14Moluscos. 
Para quem não é alérgico ou intolerante, estas substâncias ou produtos são completamente inofensivas. 
Caso necessite informação adicional sobre os produtos em causa deve solicitar aos funcionários.
Declaração nutricional: valores médios de 100 g ou 100 ml, calculados a partir dos valores médios conhecidos dos ingredientes utilizados, segundo o Instituto Nacional de Saúde Dr. Ricardo Jorge, Tabela da Composição de Alimentos (2007), e a informação disponibilizada pelos fornecedores.
Legenda: VE - Valor energético, Líp. - Lípidos, AG Sat. - Ácidos Gordos Saturados, HC - Hidratos de Carbono, Prot. - Proteínas.
</v>
      </c>
      <c r="B76" s="167"/>
      <c r="C76" s="167"/>
      <c r="D76" s="167"/>
      <c r="E76" s="167"/>
      <c r="F76" s="167"/>
      <c r="G76" s="167"/>
      <c r="H76" s="167"/>
      <c r="I76" s="167"/>
      <c r="J76" s="167"/>
      <c r="K76" s="167"/>
      <c r="L76" s="167"/>
      <c r="M76" s="167"/>
      <c r="N76" s="5"/>
    </row>
    <row r="77" spans="1:14" ht="39.950000000000003" customHeight="1">
      <c r="B77" s="26">
        <v>0</v>
      </c>
      <c r="C77" s="63" t="s">
        <v>103</v>
      </c>
      <c r="D77" s="24"/>
      <c r="E77" s="72" t="s">
        <v>377</v>
      </c>
      <c r="F77" s="37"/>
      <c r="G77" s="37"/>
      <c r="H77" s="37"/>
      <c r="I77" s="37"/>
      <c r="J77" s="37"/>
      <c r="K77" s="37"/>
      <c r="L77" s="37"/>
      <c r="M77" s="37"/>
      <c r="N77" s="1"/>
    </row>
    <row r="78" spans="1:14" ht="20.100000000000001" customHeight="1" thickBot="1">
      <c r="B78" s="17">
        <v>0</v>
      </c>
      <c r="E78" s="68"/>
      <c r="F78" s="39" t="s">
        <v>87</v>
      </c>
      <c r="G78" s="39" t="s">
        <v>88</v>
      </c>
      <c r="H78" s="39" t="s">
        <v>89</v>
      </c>
      <c r="I78" s="39" t="s">
        <v>90</v>
      </c>
      <c r="J78" s="39" t="s">
        <v>91</v>
      </c>
      <c r="K78" s="39" t="s">
        <v>476</v>
      </c>
      <c r="L78" s="39" t="s">
        <v>477</v>
      </c>
      <c r="M78" s="39" t="s">
        <v>93</v>
      </c>
      <c r="N78" s="3"/>
    </row>
    <row r="79" spans="1:14" ht="20.100000000000001" customHeight="1" thickTop="1">
      <c r="A79" s="161" t="s">
        <v>16</v>
      </c>
      <c r="B79" s="26">
        <v>0</v>
      </c>
      <c r="C79" s="27" t="s">
        <v>17</v>
      </c>
      <c r="D79" s="28"/>
      <c r="E79" s="70" t="s">
        <v>30</v>
      </c>
      <c r="F79" s="60">
        <v>251.1</v>
      </c>
      <c r="G79" s="60">
        <v>60</v>
      </c>
      <c r="H79" s="60">
        <v>3.5</v>
      </c>
      <c r="I79" s="60">
        <v>0.6</v>
      </c>
      <c r="J79" s="60">
        <v>5.5</v>
      </c>
      <c r="K79" s="60">
        <v>4.9000000000000004</v>
      </c>
      <c r="L79" s="60">
        <v>1.9</v>
      </c>
      <c r="M79" s="60">
        <v>0.2</v>
      </c>
      <c r="N79" s="125" t="s">
        <v>55</v>
      </c>
    </row>
    <row r="80" spans="1:14" ht="20.100000000000001" customHeight="1">
      <c r="A80" s="162"/>
      <c r="B80" s="17">
        <v>0</v>
      </c>
      <c r="C80" s="42" t="s">
        <v>18</v>
      </c>
      <c r="D80" s="28"/>
      <c r="E80" s="70" t="s">
        <v>397</v>
      </c>
      <c r="F80" s="60">
        <f>1756+1198.4</f>
        <v>2954.4</v>
      </c>
      <c r="G80" s="60">
        <f>420+286.4</f>
        <v>706.4</v>
      </c>
      <c r="H80" s="60">
        <f>5.5+1.5</f>
        <v>7</v>
      </c>
      <c r="I80" s="60">
        <f>0.9+0.3</f>
        <v>1.2</v>
      </c>
      <c r="J80" s="60">
        <f>67.7+56.9</f>
        <v>124.6</v>
      </c>
      <c r="K80" s="60">
        <f>6+2.2</f>
        <v>8.1999999999999993</v>
      </c>
      <c r="L80" s="60">
        <f>22.9+9.7</f>
        <v>32.599999999999994</v>
      </c>
      <c r="M80" s="60">
        <v>0.3</v>
      </c>
      <c r="N80" s="131" t="s">
        <v>55</v>
      </c>
    </row>
    <row r="81" spans="1:14" ht="20.100000000000001" customHeight="1">
      <c r="A81" s="162"/>
      <c r="B81" s="26">
        <v>0</v>
      </c>
      <c r="C81" s="42" t="s">
        <v>373</v>
      </c>
      <c r="D81" s="28"/>
      <c r="E81" s="70" t="s">
        <v>459</v>
      </c>
      <c r="F81" s="40">
        <f>20+29.2+40</f>
        <v>89.2</v>
      </c>
      <c r="G81" s="40">
        <f>4.8+7+9.6</f>
        <v>21.4</v>
      </c>
      <c r="H81" s="40">
        <v>0.4</v>
      </c>
      <c r="I81" s="40">
        <v>0</v>
      </c>
      <c r="J81" s="40">
        <f>0.3+1.2+1.8</f>
        <v>3.3</v>
      </c>
      <c r="K81" s="40">
        <f>0.3+0.9+1.8</f>
        <v>3</v>
      </c>
      <c r="L81" s="40">
        <f>0.7+0.4+0.4</f>
        <v>1.5</v>
      </c>
      <c r="M81" s="40">
        <v>0</v>
      </c>
      <c r="N81" s="15" t="s">
        <v>55</v>
      </c>
    </row>
    <row r="82" spans="1:14" ht="20.100000000000001" customHeight="1">
      <c r="A82" s="162"/>
      <c r="B82" s="17">
        <v>0</v>
      </c>
      <c r="C82" s="29" t="s">
        <v>19</v>
      </c>
      <c r="D82" s="28"/>
      <c r="E82" s="70" t="s">
        <v>38</v>
      </c>
      <c r="F82" s="40">
        <v>319.7</v>
      </c>
      <c r="G82" s="61">
        <v>76.400000000000006</v>
      </c>
      <c r="H82" s="61">
        <v>0.5</v>
      </c>
      <c r="I82" s="61">
        <v>0.2</v>
      </c>
      <c r="J82" s="61">
        <v>16.899999999999999</v>
      </c>
      <c r="K82" s="61">
        <v>16.7</v>
      </c>
      <c r="L82" s="61">
        <v>1.1000000000000001</v>
      </c>
      <c r="M82" s="61">
        <v>0</v>
      </c>
      <c r="N82" s="15" t="s">
        <v>55</v>
      </c>
    </row>
    <row r="83" spans="1:14" ht="20.100000000000001" customHeight="1">
      <c r="A83" s="162"/>
      <c r="B83" s="26">
        <v>0</v>
      </c>
      <c r="C83" s="29" t="s">
        <v>20</v>
      </c>
      <c r="D83" s="28"/>
      <c r="E83" s="70" t="s">
        <v>25</v>
      </c>
      <c r="F83" s="163" t="s">
        <v>98</v>
      </c>
      <c r="G83" s="164"/>
      <c r="H83" s="164"/>
      <c r="I83" s="164"/>
      <c r="J83" s="164"/>
      <c r="K83" s="164"/>
      <c r="L83" s="164"/>
      <c r="M83" s="165"/>
      <c r="N83" s="14"/>
    </row>
    <row r="84" spans="1:14" ht="20.100000000000001" customHeight="1">
      <c r="A84" s="30"/>
      <c r="B84" s="17">
        <v>0</v>
      </c>
      <c r="C84" s="31"/>
      <c r="D84" s="28"/>
      <c r="E84" s="74"/>
      <c r="F84" s="32"/>
      <c r="G84" s="32"/>
      <c r="H84" s="32"/>
      <c r="I84" s="32"/>
      <c r="J84" s="32"/>
      <c r="K84" s="32"/>
      <c r="L84" s="32"/>
      <c r="M84" s="32"/>
      <c r="N84" s="4"/>
    </row>
    <row r="85" spans="1:14" ht="20.100000000000001" customHeight="1" thickBot="1">
      <c r="A85" s="33"/>
      <c r="B85" s="26">
        <v>0</v>
      </c>
      <c r="C85" s="34"/>
      <c r="D85" s="28"/>
      <c r="E85" s="74"/>
      <c r="F85" s="39" t="s">
        <v>87</v>
      </c>
      <c r="G85" s="39" t="s">
        <v>88</v>
      </c>
      <c r="H85" s="39" t="s">
        <v>89</v>
      </c>
      <c r="I85" s="39" t="s">
        <v>90</v>
      </c>
      <c r="J85" s="39" t="s">
        <v>91</v>
      </c>
      <c r="K85" s="39" t="s">
        <v>476</v>
      </c>
      <c r="L85" s="39" t="s">
        <v>477</v>
      </c>
      <c r="M85" s="39" t="s">
        <v>93</v>
      </c>
      <c r="N85" s="11"/>
    </row>
    <row r="86" spans="1:14" ht="20.100000000000001" customHeight="1" thickTop="1">
      <c r="A86" s="161" t="s">
        <v>21</v>
      </c>
      <c r="B86" s="17">
        <v>0</v>
      </c>
      <c r="C86" s="35" t="str">
        <f>$C$7</f>
        <v>Sopa</v>
      </c>
      <c r="D86" s="28"/>
      <c r="E86" s="70" t="s">
        <v>118</v>
      </c>
      <c r="F86" s="40">
        <v>865.9</v>
      </c>
      <c r="G86" s="40">
        <v>206.9</v>
      </c>
      <c r="H86" s="40">
        <v>3.8</v>
      </c>
      <c r="I86" s="40">
        <v>0.6</v>
      </c>
      <c r="J86" s="40">
        <v>30.8</v>
      </c>
      <c r="K86" s="40">
        <v>3.9</v>
      </c>
      <c r="L86" s="40">
        <v>11.7</v>
      </c>
      <c r="M86" s="40">
        <v>0.1</v>
      </c>
      <c r="N86" s="15" t="s">
        <v>55</v>
      </c>
    </row>
    <row r="87" spans="1:14" ht="22.5" customHeight="1">
      <c r="A87" s="162"/>
      <c r="B87" s="26">
        <v>0</v>
      </c>
      <c r="C87" s="42" t="s">
        <v>18</v>
      </c>
      <c r="D87" s="28"/>
      <c r="E87" s="70" t="s">
        <v>398</v>
      </c>
      <c r="F87" s="60">
        <v>1114.8</v>
      </c>
      <c r="G87" s="60">
        <v>266.39999999999998</v>
      </c>
      <c r="H87" s="60">
        <v>0.5</v>
      </c>
      <c r="I87" s="60">
        <v>0.1</v>
      </c>
      <c r="J87" s="60">
        <v>54.9</v>
      </c>
      <c r="K87" s="60">
        <v>6</v>
      </c>
      <c r="L87" s="60">
        <v>9.1</v>
      </c>
      <c r="M87" s="60">
        <v>0.2</v>
      </c>
      <c r="N87" s="15" t="s">
        <v>55</v>
      </c>
    </row>
    <row r="88" spans="1:14" ht="20.100000000000001" customHeight="1">
      <c r="A88" s="162"/>
      <c r="B88" s="17">
        <v>0</v>
      </c>
      <c r="C88" s="42" t="s">
        <v>373</v>
      </c>
      <c r="D88" s="28"/>
      <c r="E88" s="70" t="s">
        <v>120</v>
      </c>
      <c r="F88" s="40">
        <f>20+163.3+40</f>
        <v>223.3</v>
      </c>
      <c r="G88" s="40">
        <f>4.8+39.2+9.6</f>
        <v>53.6</v>
      </c>
      <c r="H88" s="40">
        <v>0.8</v>
      </c>
      <c r="I88" s="40">
        <v>0</v>
      </c>
      <c r="J88" s="40">
        <f>0.3+7.1+1.8</f>
        <v>9.1999999999999993</v>
      </c>
      <c r="K88" s="40">
        <f>0.3+1.8</f>
        <v>2.1</v>
      </c>
      <c r="L88" s="40">
        <f>0.7+1.5+0.4</f>
        <v>2.6</v>
      </c>
      <c r="M88" s="40">
        <v>0</v>
      </c>
      <c r="N88" s="15" t="s">
        <v>55</v>
      </c>
    </row>
    <row r="89" spans="1:14" ht="20.100000000000001" customHeight="1">
      <c r="A89" s="162"/>
      <c r="B89" s="26">
        <v>0</v>
      </c>
      <c r="C89" s="36" t="str">
        <f>$C$10</f>
        <v>Sobremesa</v>
      </c>
      <c r="D89" s="28"/>
      <c r="E89" s="70" t="s">
        <v>26</v>
      </c>
      <c r="F89" s="40">
        <v>319.7</v>
      </c>
      <c r="G89" s="61">
        <v>76.400000000000006</v>
      </c>
      <c r="H89" s="61">
        <v>0.5</v>
      </c>
      <c r="I89" s="61">
        <v>0.2</v>
      </c>
      <c r="J89" s="61">
        <v>16.899999999999999</v>
      </c>
      <c r="K89" s="61">
        <v>16.7</v>
      </c>
      <c r="L89" s="61">
        <v>1.1000000000000001</v>
      </c>
      <c r="M89" s="61">
        <v>0</v>
      </c>
      <c r="N89" s="41" t="s">
        <v>55</v>
      </c>
    </row>
    <row r="90" spans="1:14" ht="20.100000000000001" customHeight="1">
      <c r="A90" s="162"/>
      <c r="B90" s="17">
        <v>0</v>
      </c>
      <c r="C90" s="36" t="str">
        <f>$C$11</f>
        <v>Pão</v>
      </c>
      <c r="D90" s="28"/>
      <c r="E90" s="70" t="s">
        <v>25</v>
      </c>
      <c r="F90" s="163" t="s">
        <v>98</v>
      </c>
      <c r="G90" s="164"/>
      <c r="H90" s="164"/>
      <c r="I90" s="164"/>
      <c r="J90" s="164"/>
      <c r="K90" s="164"/>
      <c r="L90" s="164"/>
      <c r="M90" s="165"/>
      <c r="N90" s="14"/>
    </row>
    <row r="91" spans="1:14" ht="20.100000000000001" customHeight="1">
      <c r="A91" s="30"/>
      <c r="B91" s="26">
        <v>0</v>
      </c>
      <c r="C91" s="31"/>
      <c r="D91" s="28"/>
      <c r="E91" s="74"/>
      <c r="F91" s="32"/>
      <c r="G91" s="32"/>
      <c r="H91" s="32"/>
      <c r="I91" s="32"/>
      <c r="J91" s="32"/>
      <c r="K91" s="32"/>
      <c r="L91" s="32"/>
      <c r="M91" s="32"/>
      <c r="N91" s="4"/>
    </row>
    <row r="92" spans="1:14" ht="20.100000000000001" customHeight="1" thickBot="1">
      <c r="A92" s="33"/>
      <c r="B92" s="17">
        <v>0</v>
      </c>
      <c r="C92" s="34"/>
      <c r="D92" s="28"/>
      <c r="E92" s="74"/>
      <c r="F92" s="39" t="s">
        <v>87</v>
      </c>
      <c r="G92" s="39" t="s">
        <v>88</v>
      </c>
      <c r="H92" s="39" t="s">
        <v>89</v>
      </c>
      <c r="I92" s="39" t="s">
        <v>90</v>
      </c>
      <c r="J92" s="39" t="s">
        <v>91</v>
      </c>
      <c r="K92" s="39" t="s">
        <v>476</v>
      </c>
      <c r="L92" s="39" t="s">
        <v>477</v>
      </c>
      <c r="M92" s="39" t="s">
        <v>93</v>
      </c>
      <c r="N92" s="11"/>
    </row>
    <row r="93" spans="1:14" ht="20.100000000000001" customHeight="1" thickTop="1">
      <c r="A93" s="161" t="s">
        <v>22</v>
      </c>
      <c r="B93" s="26">
        <v>0</v>
      </c>
      <c r="C93" s="35" t="str">
        <f>$C$7</f>
        <v>Sopa</v>
      </c>
      <c r="D93" s="28"/>
      <c r="E93" s="70" t="s">
        <v>446</v>
      </c>
      <c r="F93" s="40">
        <v>268</v>
      </c>
      <c r="G93" s="40">
        <v>64.099999999999994</v>
      </c>
      <c r="H93" s="40">
        <v>3.7</v>
      </c>
      <c r="I93" s="40">
        <v>0.6</v>
      </c>
      <c r="J93" s="40">
        <v>5.4</v>
      </c>
      <c r="K93" s="40">
        <v>4.8</v>
      </c>
      <c r="L93" s="40">
        <v>2.5</v>
      </c>
      <c r="M93" s="40">
        <v>0.4</v>
      </c>
      <c r="N93" s="15" t="s">
        <v>55</v>
      </c>
    </row>
    <row r="94" spans="1:14" ht="18.75" customHeight="1">
      <c r="A94" s="162"/>
      <c r="B94" s="17">
        <v>0</v>
      </c>
      <c r="C94" s="42" t="s">
        <v>18</v>
      </c>
      <c r="D94" s="28"/>
      <c r="E94" s="70" t="s">
        <v>399</v>
      </c>
      <c r="F94" s="60">
        <v>1607.1</v>
      </c>
      <c r="G94" s="60">
        <v>384.1</v>
      </c>
      <c r="H94" s="60">
        <v>4.8</v>
      </c>
      <c r="I94" s="60">
        <v>0.8</v>
      </c>
      <c r="J94" s="60">
        <v>64</v>
      </c>
      <c r="K94" s="60">
        <v>5.7</v>
      </c>
      <c r="L94" s="60">
        <v>19.600000000000001</v>
      </c>
      <c r="M94" s="60">
        <v>0.2</v>
      </c>
      <c r="N94" s="15" t="s">
        <v>55</v>
      </c>
    </row>
    <row r="95" spans="1:14" ht="20.100000000000001" customHeight="1">
      <c r="A95" s="162"/>
      <c r="B95" s="26">
        <v>0</v>
      </c>
      <c r="C95" s="42" t="s">
        <v>373</v>
      </c>
      <c r="D95" s="28"/>
      <c r="E95" s="70" t="s">
        <v>114</v>
      </c>
      <c r="F95" s="40">
        <f>20+25.6+40</f>
        <v>85.6</v>
      </c>
      <c r="G95" s="40">
        <f>4.8+6.1+9.6</f>
        <v>20.5</v>
      </c>
      <c r="H95" s="40">
        <f>0.1+0.2+0.2</f>
        <v>0.5</v>
      </c>
      <c r="I95" s="40">
        <v>0.1</v>
      </c>
      <c r="J95" s="40">
        <f>0.3+0.6+1.8</f>
        <v>2.7</v>
      </c>
      <c r="K95" s="40">
        <f>0.3+0.6+1.8</f>
        <v>2.7</v>
      </c>
      <c r="L95" s="40">
        <f>0.7+0.5+0.4</f>
        <v>1.6</v>
      </c>
      <c r="M95" s="40">
        <v>0</v>
      </c>
      <c r="N95" s="15" t="s">
        <v>55</v>
      </c>
    </row>
    <row r="96" spans="1:14" ht="20.100000000000001" customHeight="1">
      <c r="A96" s="162"/>
      <c r="B96" s="17">
        <v>0</v>
      </c>
      <c r="C96" s="36" t="str">
        <f>$C$10</f>
        <v>Sobremesa</v>
      </c>
      <c r="D96" s="28"/>
      <c r="E96" s="70" t="s">
        <v>38</v>
      </c>
      <c r="F96" s="40">
        <v>319.7</v>
      </c>
      <c r="G96" s="61">
        <v>76.400000000000006</v>
      </c>
      <c r="H96" s="61">
        <v>0.5</v>
      </c>
      <c r="I96" s="61">
        <v>0.2</v>
      </c>
      <c r="J96" s="61">
        <v>16.899999999999999</v>
      </c>
      <c r="K96" s="61">
        <v>16.7</v>
      </c>
      <c r="L96" s="61">
        <v>1.1000000000000001</v>
      </c>
      <c r="M96" s="61">
        <v>0</v>
      </c>
      <c r="N96" s="15" t="s">
        <v>55</v>
      </c>
    </row>
    <row r="97" spans="1:14" ht="20.100000000000001" customHeight="1">
      <c r="A97" s="162"/>
      <c r="B97" s="26">
        <v>0</v>
      </c>
      <c r="C97" s="36" t="str">
        <f>$C$11</f>
        <v>Pão</v>
      </c>
      <c r="D97" s="28"/>
      <c r="E97" s="70" t="s">
        <v>25</v>
      </c>
      <c r="F97" s="163" t="s">
        <v>98</v>
      </c>
      <c r="G97" s="164"/>
      <c r="H97" s="164"/>
      <c r="I97" s="164"/>
      <c r="J97" s="164"/>
      <c r="K97" s="164"/>
      <c r="L97" s="164"/>
      <c r="M97" s="165"/>
      <c r="N97" s="14"/>
    </row>
    <row r="98" spans="1:14" ht="20.100000000000001" customHeight="1">
      <c r="A98" s="30"/>
      <c r="B98" s="17">
        <v>0</v>
      </c>
      <c r="C98" s="31"/>
      <c r="D98" s="28"/>
      <c r="E98" s="74"/>
      <c r="F98" s="32"/>
      <c r="G98" s="32"/>
      <c r="H98" s="32"/>
      <c r="I98" s="32"/>
      <c r="J98" s="32"/>
      <c r="K98" s="32"/>
      <c r="L98" s="32"/>
      <c r="M98" s="32"/>
      <c r="N98" s="4"/>
    </row>
    <row r="99" spans="1:14" ht="20.100000000000001" customHeight="1" thickBot="1">
      <c r="A99" s="33"/>
      <c r="B99" s="26">
        <v>0</v>
      </c>
      <c r="C99" s="34"/>
      <c r="D99" s="28"/>
      <c r="E99" s="74"/>
      <c r="F99" s="39" t="s">
        <v>87</v>
      </c>
      <c r="G99" s="39" t="s">
        <v>88</v>
      </c>
      <c r="H99" s="39" t="s">
        <v>89</v>
      </c>
      <c r="I99" s="39" t="s">
        <v>90</v>
      </c>
      <c r="J99" s="39" t="s">
        <v>91</v>
      </c>
      <c r="K99" s="39" t="s">
        <v>476</v>
      </c>
      <c r="L99" s="39" t="s">
        <v>477</v>
      </c>
      <c r="M99" s="39" t="s">
        <v>93</v>
      </c>
      <c r="N99" s="11"/>
    </row>
    <row r="100" spans="1:14" ht="20.100000000000001" customHeight="1" thickTop="1">
      <c r="A100" s="161" t="s">
        <v>23</v>
      </c>
      <c r="B100" s="17">
        <v>0</v>
      </c>
      <c r="C100" s="35" t="str">
        <f>$C$7</f>
        <v>Sopa</v>
      </c>
      <c r="D100" s="28"/>
      <c r="E100" s="70" t="s">
        <v>100</v>
      </c>
      <c r="F100" s="40">
        <v>798.5</v>
      </c>
      <c r="G100" s="40">
        <v>190.8</v>
      </c>
      <c r="H100" s="40">
        <v>6.7</v>
      </c>
      <c r="I100" s="40">
        <v>1.7</v>
      </c>
      <c r="J100" s="40">
        <v>25.2</v>
      </c>
      <c r="K100" s="40">
        <v>3.2</v>
      </c>
      <c r="L100" s="40">
        <v>6.8</v>
      </c>
      <c r="M100" s="40">
        <v>0.7</v>
      </c>
      <c r="N100" s="15" t="s">
        <v>55</v>
      </c>
    </row>
    <row r="101" spans="1:14" ht="20.100000000000001" customHeight="1">
      <c r="A101" s="162"/>
      <c r="B101" s="26">
        <v>0</v>
      </c>
      <c r="C101" s="42" t="s">
        <v>18</v>
      </c>
      <c r="D101" s="28"/>
      <c r="E101" s="70" t="s">
        <v>400</v>
      </c>
      <c r="F101" s="60">
        <v>497</v>
      </c>
      <c r="G101" s="60">
        <v>118.8</v>
      </c>
      <c r="H101" s="60">
        <v>3.4</v>
      </c>
      <c r="I101" s="60">
        <v>0.5</v>
      </c>
      <c r="J101" s="60">
        <v>14.5</v>
      </c>
      <c r="K101" s="60">
        <v>2.2999999999999998</v>
      </c>
      <c r="L101" s="60">
        <v>7.4</v>
      </c>
      <c r="M101" s="60">
        <v>0</v>
      </c>
      <c r="N101" s="15" t="s">
        <v>55</v>
      </c>
    </row>
    <row r="102" spans="1:14" ht="20.100000000000001" customHeight="1">
      <c r="A102" s="162"/>
      <c r="B102" s="17">
        <v>0</v>
      </c>
      <c r="C102" s="42" t="s">
        <v>373</v>
      </c>
      <c r="D102" s="28"/>
      <c r="E102" s="70" t="s">
        <v>99</v>
      </c>
      <c r="F102" s="40">
        <f>20+30+163.3</f>
        <v>213.3</v>
      </c>
      <c r="G102" s="40">
        <f>4.8+7.2+39.2</f>
        <v>51.2</v>
      </c>
      <c r="H102" s="40">
        <v>0.6</v>
      </c>
      <c r="I102" s="40">
        <v>0</v>
      </c>
      <c r="J102" s="40">
        <f>0.3+1.4+7.1</f>
        <v>8.7999999999999989</v>
      </c>
      <c r="K102" s="40">
        <f>0.3+1.4</f>
        <v>1.7</v>
      </c>
      <c r="L102" s="40">
        <f>0.7+0.4+1.5</f>
        <v>2.6</v>
      </c>
      <c r="M102" s="40">
        <v>0.1</v>
      </c>
      <c r="N102" s="15" t="s">
        <v>55</v>
      </c>
    </row>
    <row r="103" spans="1:14" ht="20.100000000000001" customHeight="1">
      <c r="A103" s="162"/>
      <c r="B103" s="26">
        <v>0</v>
      </c>
      <c r="C103" s="36" t="str">
        <f>$C$10</f>
        <v>Sobremesa</v>
      </c>
      <c r="D103" s="28"/>
      <c r="E103" s="70" t="s">
        <v>117</v>
      </c>
      <c r="F103" s="40" t="s">
        <v>478</v>
      </c>
      <c r="G103" s="61" t="s">
        <v>479</v>
      </c>
      <c r="H103" s="61" t="s">
        <v>480</v>
      </c>
      <c r="I103" s="61" t="s">
        <v>481</v>
      </c>
      <c r="J103" s="61" t="s">
        <v>482</v>
      </c>
      <c r="K103" s="61" t="s">
        <v>483</v>
      </c>
      <c r="L103" s="61" t="s">
        <v>484</v>
      </c>
      <c r="M103" s="61" t="s">
        <v>485</v>
      </c>
      <c r="N103" s="15" t="s">
        <v>55</v>
      </c>
    </row>
    <row r="104" spans="1:14" ht="20.100000000000001" customHeight="1">
      <c r="A104" s="162"/>
      <c r="B104" s="17">
        <v>0</v>
      </c>
      <c r="C104" s="36" t="str">
        <f>$C$11</f>
        <v>Pão</v>
      </c>
      <c r="D104" s="28"/>
      <c r="E104" s="70" t="s">
        <v>25</v>
      </c>
      <c r="F104" s="163" t="s">
        <v>95</v>
      </c>
      <c r="G104" s="164"/>
      <c r="H104" s="164"/>
      <c r="I104" s="164"/>
      <c r="J104" s="164"/>
      <c r="K104" s="164"/>
      <c r="L104" s="164"/>
      <c r="M104" s="165"/>
      <c r="N104" s="14"/>
    </row>
    <row r="105" spans="1:14" ht="20.100000000000001" customHeight="1">
      <c r="A105" s="30"/>
      <c r="B105" s="26">
        <v>0</v>
      </c>
      <c r="C105" s="31"/>
      <c r="D105" s="28"/>
      <c r="E105" s="71"/>
      <c r="F105" s="32"/>
      <c r="G105" s="32"/>
      <c r="H105" s="32"/>
      <c r="I105" s="32"/>
      <c r="J105" s="32"/>
      <c r="K105" s="32"/>
      <c r="L105" s="32"/>
      <c r="M105" s="32"/>
      <c r="N105" s="4"/>
    </row>
    <row r="106" spans="1:14" ht="20.100000000000001" customHeight="1" thickBot="1">
      <c r="A106" s="33"/>
      <c r="B106" s="17">
        <v>0</v>
      </c>
      <c r="C106" s="34"/>
      <c r="D106" s="28"/>
      <c r="E106" s="68"/>
      <c r="F106" s="39" t="s">
        <v>87</v>
      </c>
      <c r="G106" s="39" t="s">
        <v>88</v>
      </c>
      <c r="H106" s="39" t="s">
        <v>89</v>
      </c>
      <c r="I106" s="39" t="s">
        <v>90</v>
      </c>
      <c r="J106" s="39" t="s">
        <v>91</v>
      </c>
      <c r="K106" s="39" t="s">
        <v>476</v>
      </c>
      <c r="L106" s="39" t="s">
        <v>477</v>
      </c>
      <c r="M106" s="39" t="s">
        <v>93</v>
      </c>
      <c r="N106" s="11"/>
    </row>
    <row r="107" spans="1:14" ht="20.100000000000001" customHeight="1" thickTop="1">
      <c r="A107" s="161" t="s">
        <v>24</v>
      </c>
      <c r="B107" s="26">
        <v>0</v>
      </c>
      <c r="C107" s="35" t="str">
        <f>$C$7</f>
        <v>Sopa</v>
      </c>
      <c r="D107" s="28"/>
      <c r="E107" s="70" t="s">
        <v>119</v>
      </c>
      <c r="F107" s="40">
        <v>909.5</v>
      </c>
      <c r="G107" s="40">
        <v>217.6</v>
      </c>
      <c r="H107" s="40">
        <v>3.8</v>
      </c>
      <c r="I107" s="40">
        <v>0.6</v>
      </c>
      <c r="J107" s="40">
        <v>33</v>
      </c>
      <c r="K107" s="40">
        <v>5.3</v>
      </c>
      <c r="L107" s="40">
        <v>12.1</v>
      </c>
      <c r="M107" s="40">
        <v>0.2</v>
      </c>
      <c r="N107" s="15" t="s">
        <v>55</v>
      </c>
    </row>
    <row r="108" spans="1:14" ht="22.5" customHeight="1">
      <c r="A108" s="162"/>
      <c r="B108" s="17">
        <v>0</v>
      </c>
      <c r="C108" s="42" t="s">
        <v>18</v>
      </c>
      <c r="D108" s="28"/>
      <c r="E108" s="70" t="s">
        <v>401</v>
      </c>
      <c r="F108" s="60">
        <f>1120+282.2</f>
        <v>1402.2</v>
      </c>
      <c r="G108" s="60">
        <f>267.7+67.5</f>
        <v>335.2</v>
      </c>
      <c r="H108" s="60">
        <f>3.3+3</f>
        <v>6.3</v>
      </c>
      <c r="I108" s="60">
        <f>0.5+0.4</f>
        <v>0.9</v>
      </c>
      <c r="J108" s="60">
        <f>6.4+51.8</f>
        <v>58.199999999999996</v>
      </c>
      <c r="K108" s="60">
        <f>3.3+3.3</f>
        <v>6.6</v>
      </c>
      <c r="L108" s="60">
        <f>3.1+6.8</f>
        <v>9.9</v>
      </c>
      <c r="M108" s="60">
        <v>0.3</v>
      </c>
      <c r="N108" s="15" t="s">
        <v>55</v>
      </c>
    </row>
    <row r="109" spans="1:14" ht="20.100000000000001" customHeight="1">
      <c r="A109" s="162"/>
      <c r="B109" s="26">
        <v>0</v>
      </c>
      <c r="C109" s="42" t="s">
        <v>373</v>
      </c>
      <c r="D109" s="28"/>
      <c r="E109" s="70" t="s">
        <v>121</v>
      </c>
      <c r="F109" s="40">
        <f>32.4+28.5+25.6</f>
        <v>86.5</v>
      </c>
      <c r="G109" s="40">
        <f>7.7+6.8+6.1</f>
        <v>20.6</v>
      </c>
      <c r="H109" s="40">
        <v>0.2</v>
      </c>
      <c r="I109" s="40">
        <v>0</v>
      </c>
      <c r="J109" s="40">
        <f>1.8+1.2+0.6</f>
        <v>3.6</v>
      </c>
      <c r="K109" s="40">
        <f>1.6+1+0.6</f>
        <v>3.2</v>
      </c>
      <c r="L109" s="40">
        <f>1.9+0.6+0.5</f>
        <v>3</v>
      </c>
      <c r="M109" s="40">
        <v>0.1</v>
      </c>
      <c r="N109" s="15" t="s">
        <v>55</v>
      </c>
    </row>
    <row r="110" spans="1:14" ht="20.100000000000001" customHeight="1">
      <c r="A110" s="162"/>
      <c r="B110" s="17">
        <v>0</v>
      </c>
      <c r="C110" s="36" t="str">
        <f>$C$10</f>
        <v>Sobremesa</v>
      </c>
      <c r="D110" s="28"/>
      <c r="E110" s="70" t="s">
        <v>26</v>
      </c>
      <c r="F110" s="40">
        <v>319.7</v>
      </c>
      <c r="G110" s="61">
        <v>76.400000000000006</v>
      </c>
      <c r="H110" s="61">
        <v>0.5</v>
      </c>
      <c r="I110" s="61">
        <v>0.2</v>
      </c>
      <c r="J110" s="61">
        <v>16.899999999999999</v>
      </c>
      <c r="K110" s="61">
        <v>16.7</v>
      </c>
      <c r="L110" s="61">
        <v>1.1000000000000001</v>
      </c>
      <c r="M110" s="61">
        <v>0</v>
      </c>
      <c r="N110" s="15" t="s">
        <v>55</v>
      </c>
    </row>
    <row r="111" spans="1:14" ht="20.100000000000001" customHeight="1">
      <c r="A111" s="162"/>
      <c r="B111" s="26">
        <v>0</v>
      </c>
      <c r="C111" s="36" t="str">
        <f>$C$11</f>
        <v>Pão</v>
      </c>
      <c r="D111" s="28"/>
      <c r="E111" s="70" t="s">
        <v>25</v>
      </c>
      <c r="F111" s="163" t="s">
        <v>98</v>
      </c>
      <c r="G111" s="164"/>
      <c r="H111" s="164"/>
      <c r="I111" s="164"/>
      <c r="J111" s="164"/>
      <c r="K111" s="164"/>
      <c r="L111" s="164"/>
      <c r="M111" s="165"/>
      <c r="N111" s="14"/>
    </row>
    <row r="112" spans="1:14" ht="123" customHeight="1">
      <c r="A112" s="166" t="str">
        <f>+A$40</f>
        <v xml:space="preserve">
A sua refeição contém ou pode conter as seguintes substâncias ou produtos e seus derivados: 1Cereais que contêm glúten, 2Crustáceos , 3Ovos, 4Peixes, 5Amendoins, 6Soja, 7Leite, 8Frutos de casca rija, 9Aipo, 10Mostarda, 11Sementes de sésamo, 12Dióxido de enxofre e sulfitos, 13Tremoço, 14Moluscos. 
Para quem não é alérgico ou intolerante, estas substâncias ou produtos são completamente inofensivas. 
Caso necessite informação adicional sobre os produtos em causa deve solicitar aos funcionários.
Declaração nutricional: valores médios de 100 g ou 100 ml, calculados a partir dos valores médios conhecidos dos ingredientes utilizados, segundo o Instituto Nacional de Saúde Dr. Ricardo Jorge, Tabela da Composição de Alimentos (2007), e a informação disponibilizada pelos fornecedores.
Legenda: VE - Valor energético, Líp. - Lípidos, AG Sat. - Ácidos Gordos Saturados, HC - Hidratos de Carbono, Prot. - Proteínas.
</v>
      </c>
      <c r="B112" s="167"/>
      <c r="C112" s="167"/>
      <c r="D112" s="167"/>
      <c r="E112" s="167"/>
      <c r="F112" s="167"/>
      <c r="G112" s="167"/>
      <c r="H112" s="167"/>
      <c r="I112" s="167"/>
      <c r="J112" s="167"/>
      <c r="K112" s="167"/>
      <c r="L112" s="167"/>
      <c r="M112" s="167"/>
      <c r="N112" s="5"/>
    </row>
    <row r="113" spans="1:14" ht="39.950000000000003" customHeight="1">
      <c r="B113" s="26">
        <v>0</v>
      </c>
      <c r="C113" s="63" t="s">
        <v>104</v>
      </c>
      <c r="D113" s="24"/>
      <c r="E113" s="72" t="s">
        <v>378</v>
      </c>
      <c r="F113" s="39"/>
      <c r="G113" s="39"/>
      <c r="H113" s="39"/>
      <c r="I113" s="39"/>
      <c r="J113" s="39"/>
      <c r="K113" s="39"/>
      <c r="L113" s="39"/>
      <c r="M113" s="39"/>
      <c r="N113" s="1"/>
    </row>
    <row r="114" spans="1:14" ht="20.100000000000001" customHeight="1" thickBot="1">
      <c r="B114" s="17">
        <v>0</v>
      </c>
      <c r="E114" s="68"/>
      <c r="F114" s="39" t="s">
        <v>87</v>
      </c>
      <c r="G114" s="39" t="s">
        <v>88</v>
      </c>
      <c r="H114" s="39" t="s">
        <v>89</v>
      </c>
      <c r="I114" s="39" t="s">
        <v>90</v>
      </c>
      <c r="J114" s="39" t="s">
        <v>91</v>
      </c>
      <c r="K114" s="39" t="s">
        <v>476</v>
      </c>
      <c r="L114" s="39" t="s">
        <v>477</v>
      </c>
      <c r="M114" s="39" t="s">
        <v>93</v>
      </c>
      <c r="N114" s="3"/>
    </row>
    <row r="115" spans="1:14" ht="20.100000000000001" customHeight="1" thickTop="1">
      <c r="A115" s="161" t="s">
        <v>16</v>
      </c>
      <c r="B115" s="26">
        <v>0</v>
      </c>
      <c r="C115" s="27" t="s">
        <v>17</v>
      </c>
      <c r="D115" s="28"/>
      <c r="E115" s="69" t="s">
        <v>31</v>
      </c>
      <c r="F115" s="40">
        <v>509.8</v>
      </c>
      <c r="G115" s="40">
        <v>121.9</v>
      </c>
      <c r="H115" s="40">
        <v>3.6</v>
      </c>
      <c r="I115" s="40">
        <v>6.4</v>
      </c>
      <c r="J115" s="40">
        <v>18.100000000000001</v>
      </c>
      <c r="K115" s="40">
        <v>5</v>
      </c>
      <c r="L115" s="40">
        <v>4.5</v>
      </c>
      <c r="M115" s="40">
        <v>0.1</v>
      </c>
      <c r="N115" s="15" t="s">
        <v>55</v>
      </c>
    </row>
    <row r="116" spans="1:14" ht="44.25" customHeight="1">
      <c r="A116" s="162"/>
      <c r="B116" s="17">
        <v>0</v>
      </c>
      <c r="C116" s="42" t="s">
        <v>18</v>
      </c>
      <c r="D116" s="28"/>
      <c r="E116" s="69" t="s">
        <v>461</v>
      </c>
      <c r="F116" s="60">
        <v>1126.0999999999999</v>
      </c>
      <c r="G116" s="60">
        <v>269.10000000000002</v>
      </c>
      <c r="H116" s="60">
        <v>3.7</v>
      </c>
      <c r="I116" s="60">
        <v>0.6</v>
      </c>
      <c r="J116" s="60">
        <v>50.8</v>
      </c>
      <c r="K116" s="60">
        <v>2</v>
      </c>
      <c r="L116" s="60">
        <v>6.8</v>
      </c>
      <c r="M116" s="60">
        <v>0.2</v>
      </c>
      <c r="N116" s="15" t="s">
        <v>55</v>
      </c>
    </row>
    <row r="117" spans="1:14" ht="20.100000000000001" customHeight="1">
      <c r="A117" s="162"/>
      <c r="B117" s="26">
        <v>0</v>
      </c>
      <c r="C117" s="42" t="s">
        <v>373</v>
      </c>
      <c r="D117" s="28"/>
      <c r="E117" s="69" t="s">
        <v>97</v>
      </c>
      <c r="F117" s="40">
        <f>20+28.5+25.6</f>
        <v>74.099999999999994</v>
      </c>
      <c r="G117" s="40">
        <f>4.8+6.8+6.1</f>
        <v>17.7</v>
      </c>
      <c r="H117" s="40">
        <v>0.3</v>
      </c>
      <c r="I117" s="40">
        <v>0</v>
      </c>
      <c r="J117" s="40">
        <f>0.3+1.2+0.6</f>
        <v>2.1</v>
      </c>
      <c r="K117" s="40">
        <f>0.3+1+0.6</f>
        <v>1.9</v>
      </c>
      <c r="L117" s="40">
        <f>0.7+0.6+0.5</f>
        <v>1.7999999999999998</v>
      </c>
      <c r="M117" s="40">
        <v>0</v>
      </c>
      <c r="N117" s="15" t="s">
        <v>55</v>
      </c>
    </row>
    <row r="118" spans="1:14" ht="20.100000000000001" customHeight="1">
      <c r="A118" s="162"/>
      <c r="B118" s="17">
        <v>0</v>
      </c>
      <c r="C118" s="29" t="s">
        <v>19</v>
      </c>
      <c r="D118" s="28"/>
      <c r="E118" s="78" t="s">
        <v>123</v>
      </c>
      <c r="F118" s="40" t="s">
        <v>478</v>
      </c>
      <c r="G118" s="61" t="s">
        <v>479</v>
      </c>
      <c r="H118" s="61" t="s">
        <v>480</v>
      </c>
      <c r="I118" s="61" t="s">
        <v>481</v>
      </c>
      <c r="J118" s="61" t="s">
        <v>482</v>
      </c>
      <c r="K118" s="61" t="s">
        <v>483</v>
      </c>
      <c r="L118" s="61" t="s">
        <v>484</v>
      </c>
      <c r="M118" s="61" t="s">
        <v>485</v>
      </c>
      <c r="N118" s="15" t="s">
        <v>55</v>
      </c>
    </row>
    <row r="119" spans="1:14" ht="20.100000000000001" customHeight="1">
      <c r="A119" s="162"/>
      <c r="B119" s="26">
        <v>0</v>
      </c>
      <c r="C119" s="29" t="s">
        <v>20</v>
      </c>
      <c r="D119" s="28"/>
      <c r="E119" s="70" t="s">
        <v>25</v>
      </c>
      <c r="F119" s="163" t="s">
        <v>95</v>
      </c>
      <c r="G119" s="164"/>
      <c r="H119" s="164"/>
      <c r="I119" s="164"/>
      <c r="J119" s="164"/>
      <c r="K119" s="164"/>
      <c r="L119" s="164"/>
      <c r="M119" s="165"/>
      <c r="N119" s="14"/>
    </row>
    <row r="120" spans="1:14" ht="20.100000000000001" customHeight="1">
      <c r="A120" s="30"/>
      <c r="B120" s="17">
        <v>0</v>
      </c>
      <c r="C120" s="31"/>
      <c r="D120" s="28"/>
      <c r="E120" s="71"/>
      <c r="F120" s="32"/>
      <c r="G120" s="32"/>
      <c r="H120" s="32"/>
      <c r="I120" s="32"/>
      <c r="J120" s="32"/>
      <c r="K120" s="32"/>
      <c r="L120" s="32"/>
      <c r="M120" s="32"/>
      <c r="N120" s="4"/>
    </row>
    <row r="121" spans="1:14" ht="20.100000000000001" customHeight="1" thickBot="1">
      <c r="A121" s="33"/>
      <c r="B121" s="26">
        <v>0</v>
      </c>
      <c r="C121" s="34"/>
      <c r="D121" s="28"/>
      <c r="E121" s="68"/>
      <c r="F121" s="39" t="s">
        <v>87</v>
      </c>
      <c r="G121" s="39" t="s">
        <v>88</v>
      </c>
      <c r="H121" s="39" t="s">
        <v>89</v>
      </c>
      <c r="I121" s="39" t="s">
        <v>90</v>
      </c>
      <c r="J121" s="39" t="s">
        <v>91</v>
      </c>
      <c r="K121" s="39" t="s">
        <v>476</v>
      </c>
      <c r="L121" s="39" t="s">
        <v>477</v>
      </c>
      <c r="M121" s="39" t="s">
        <v>93</v>
      </c>
      <c r="N121" s="11"/>
    </row>
    <row r="122" spans="1:14" ht="20.100000000000001" customHeight="1" thickTop="1">
      <c r="A122" s="161" t="s">
        <v>21</v>
      </c>
      <c r="B122" s="17">
        <v>0</v>
      </c>
      <c r="C122" s="35" t="str">
        <f>$C$7</f>
        <v>Sopa</v>
      </c>
      <c r="D122" s="28"/>
      <c r="E122" s="78" t="s">
        <v>447</v>
      </c>
      <c r="F122" s="40">
        <v>983.7</v>
      </c>
      <c r="G122" s="40">
        <v>235.1</v>
      </c>
      <c r="H122" s="40">
        <v>5.4</v>
      </c>
      <c r="I122" s="40">
        <v>0.7</v>
      </c>
      <c r="J122" s="40">
        <v>35.200000000000003</v>
      </c>
      <c r="K122" s="40">
        <v>4.5</v>
      </c>
      <c r="L122" s="40">
        <v>10.6</v>
      </c>
      <c r="M122" s="40">
        <v>0.3</v>
      </c>
      <c r="N122" s="15" t="s">
        <v>55</v>
      </c>
    </row>
    <row r="123" spans="1:14" ht="54.75" customHeight="1">
      <c r="A123" s="162"/>
      <c r="B123" s="26">
        <v>0</v>
      </c>
      <c r="C123" s="42" t="s">
        <v>18</v>
      </c>
      <c r="D123" s="28"/>
      <c r="E123" s="78" t="s">
        <v>402</v>
      </c>
      <c r="F123" s="40">
        <v>2224.4</v>
      </c>
      <c r="G123" s="40">
        <v>531.6</v>
      </c>
      <c r="H123" s="40">
        <v>4.2</v>
      </c>
      <c r="I123" s="40">
        <v>0.4</v>
      </c>
      <c r="J123" s="40">
        <v>96.8</v>
      </c>
      <c r="K123" s="40">
        <v>9.1</v>
      </c>
      <c r="L123" s="40">
        <v>24.2</v>
      </c>
      <c r="M123" s="40">
        <v>0.3</v>
      </c>
      <c r="N123" s="15" t="s">
        <v>55</v>
      </c>
    </row>
    <row r="124" spans="1:14" ht="20.100000000000001" customHeight="1">
      <c r="A124" s="162"/>
      <c r="B124" s="17">
        <v>0</v>
      </c>
      <c r="C124" s="42" t="s">
        <v>373</v>
      </c>
      <c r="D124" s="28"/>
      <c r="E124" s="78" t="s">
        <v>120</v>
      </c>
      <c r="F124" s="40">
        <f>20+163.3+40</f>
        <v>223.3</v>
      </c>
      <c r="G124" s="40">
        <f>4.8+39.2+9.6</f>
        <v>53.6</v>
      </c>
      <c r="H124" s="40">
        <v>0.8</v>
      </c>
      <c r="I124" s="40">
        <v>0</v>
      </c>
      <c r="J124" s="40">
        <f>0.3+7.1+1.8</f>
        <v>9.1999999999999993</v>
      </c>
      <c r="K124" s="40">
        <f>0.3+1.8</f>
        <v>2.1</v>
      </c>
      <c r="L124" s="40">
        <f>0.7+1.5+0.4</f>
        <v>2.6</v>
      </c>
      <c r="M124" s="40">
        <v>0</v>
      </c>
      <c r="N124" s="15" t="s">
        <v>55</v>
      </c>
    </row>
    <row r="125" spans="1:14" ht="20.100000000000001" customHeight="1">
      <c r="A125" s="162"/>
      <c r="B125" s="26">
        <v>0</v>
      </c>
      <c r="C125" s="36" t="str">
        <f>$C$10</f>
        <v>Sobremesa</v>
      </c>
      <c r="D125" s="28"/>
      <c r="E125" s="78" t="s">
        <v>38</v>
      </c>
      <c r="F125" s="40">
        <v>319.7</v>
      </c>
      <c r="G125" s="61">
        <v>76.400000000000006</v>
      </c>
      <c r="H125" s="61">
        <v>0.5</v>
      </c>
      <c r="I125" s="61">
        <v>0.2</v>
      </c>
      <c r="J125" s="61">
        <v>16.899999999999999</v>
      </c>
      <c r="K125" s="61">
        <v>16.7</v>
      </c>
      <c r="L125" s="61">
        <v>1.1000000000000001</v>
      </c>
      <c r="M125" s="61">
        <v>0</v>
      </c>
      <c r="N125" s="15" t="s">
        <v>55</v>
      </c>
    </row>
    <row r="126" spans="1:14" ht="20.100000000000001" customHeight="1">
      <c r="A126" s="162"/>
      <c r="B126" s="17">
        <v>0</v>
      </c>
      <c r="C126" s="36" t="str">
        <f>$C$11</f>
        <v>Pão</v>
      </c>
      <c r="D126" s="28"/>
      <c r="E126" s="78" t="s">
        <v>25</v>
      </c>
      <c r="F126" s="163" t="s">
        <v>95</v>
      </c>
      <c r="G126" s="164"/>
      <c r="H126" s="164"/>
      <c r="I126" s="164"/>
      <c r="J126" s="164"/>
      <c r="K126" s="164"/>
      <c r="L126" s="164"/>
      <c r="M126" s="165"/>
      <c r="N126" s="14"/>
    </row>
    <row r="127" spans="1:14" ht="20.100000000000001" customHeight="1">
      <c r="A127" s="30"/>
      <c r="B127" s="26">
        <v>0</v>
      </c>
      <c r="C127" s="31"/>
      <c r="D127" s="28"/>
      <c r="E127" s="71"/>
      <c r="F127" s="32"/>
      <c r="G127" s="32"/>
      <c r="H127" s="32"/>
      <c r="I127" s="32"/>
      <c r="J127" s="32"/>
      <c r="K127" s="32"/>
      <c r="L127" s="32"/>
      <c r="M127" s="32"/>
      <c r="N127" s="4"/>
    </row>
    <row r="128" spans="1:14" ht="20.100000000000001" customHeight="1" thickBot="1">
      <c r="A128" s="33"/>
      <c r="B128" s="17">
        <v>0</v>
      </c>
      <c r="C128" s="34"/>
      <c r="D128" s="28"/>
      <c r="E128" s="71"/>
      <c r="F128" s="39" t="s">
        <v>87</v>
      </c>
      <c r="G128" s="39" t="s">
        <v>88</v>
      </c>
      <c r="H128" s="39" t="s">
        <v>89</v>
      </c>
      <c r="I128" s="39" t="s">
        <v>90</v>
      </c>
      <c r="J128" s="39" t="s">
        <v>91</v>
      </c>
      <c r="K128" s="39" t="s">
        <v>476</v>
      </c>
      <c r="L128" s="39" t="s">
        <v>477</v>
      </c>
      <c r="M128" s="39" t="s">
        <v>93</v>
      </c>
      <c r="N128" s="11"/>
    </row>
    <row r="129" spans="1:14" ht="20.100000000000001" customHeight="1" thickTop="1">
      <c r="A129" s="161" t="s">
        <v>22</v>
      </c>
      <c r="B129" s="26">
        <v>0</v>
      </c>
      <c r="C129" s="35" t="str">
        <f>$C$7</f>
        <v>Sopa</v>
      </c>
      <c r="D129" s="28"/>
      <c r="E129" s="78" t="s">
        <v>32</v>
      </c>
      <c r="F129" s="40">
        <v>907.6</v>
      </c>
      <c r="G129" s="40">
        <v>216.9</v>
      </c>
      <c r="H129" s="40">
        <v>3.8</v>
      </c>
      <c r="I129" s="40">
        <v>0.6</v>
      </c>
      <c r="J129" s="40">
        <v>33.299999999999997</v>
      </c>
      <c r="K129" s="40">
        <v>6.1</v>
      </c>
      <c r="L129" s="40">
        <v>11.7</v>
      </c>
      <c r="M129" s="40">
        <v>0.2</v>
      </c>
      <c r="N129" s="15" t="s">
        <v>55</v>
      </c>
    </row>
    <row r="130" spans="1:14" ht="36">
      <c r="A130" s="162"/>
      <c r="B130" s="17">
        <v>0</v>
      </c>
      <c r="C130" s="42" t="s">
        <v>18</v>
      </c>
      <c r="D130" s="28"/>
      <c r="E130" s="78" t="s">
        <v>473</v>
      </c>
      <c r="F130" s="40">
        <f>148.7+266.9+206</f>
        <v>621.59999999999991</v>
      </c>
      <c r="G130" s="40">
        <f>35.6+63.8+49.2</f>
        <v>148.60000000000002</v>
      </c>
      <c r="H130" s="40">
        <f>3.3+3.2+0.5</f>
        <v>7</v>
      </c>
      <c r="I130" s="40">
        <f>0.5+0.5+0.2</f>
        <v>1.2</v>
      </c>
      <c r="J130" s="40">
        <f>0.6+7.6+5.7</f>
        <v>13.899999999999999</v>
      </c>
      <c r="K130" s="40">
        <f>0.4+2.8+4.2</f>
        <v>7.4</v>
      </c>
      <c r="L130" s="40">
        <f>1+3+4</f>
        <v>8</v>
      </c>
      <c r="M130" s="40">
        <v>0.4</v>
      </c>
      <c r="N130" s="15" t="s">
        <v>55</v>
      </c>
    </row>
    <row r="131" spans="1:14" ht="20.100000000000001" customHeight="1">
      <c r="A131" s="162"/>
      <c r="B131" s="26">
        <v>0</v>
      </c>
      <c r="C131" s="42" t="s">
        <v>373</v>
      </c>
      <c r="D131" s="28"/>
      <c r="E131" s="78" t="s">
        <v>99</v>
      </c>
      <c r="F131" s="40">
        <f>20+30+163.3</f>
        <v>213.3</v>
      </c>
      <c r="G131" s="40">
        <f>4.8+7.2+39.2</f>
        <v>51.2</v>
      </c>
      <c r="H131" s="40">
        <v>0.6</v>
      </c>
      <c r="I131" s="40">
        <v>0</v>
      </c>
      <c r="J131" s="40">
        <f>0.3+1.4+7.1</f>
        <v>8.7999999999999989</v>
      </c>
      <c r="K131" s="40">
        <f>0.3+1.4</f>
        <v>1.7</v>
      </c>
      <c r="L131" s="40">
        <f>0.7+0.4+1.5</f>
        <v>2.6</v>
      </c>
      <c r="M131" s="40">
        <v>0.1</v>
      </c>
      <c r="N131" s="15" t="s">
        <v>55</v>
      </c>
    </row>
    <row r="132" spans="1:14" ht="20.100000000000001" customHeight="1">
      <c r="A132" s="162"/>
      <c r="B132" s="17">
        <v>0</v>
      </c>
      <c r="C132" s="36" t="str">
        <f>$C$10</f>
        <v>Sobremesa</v>
      </c>
      <c r="D132" s="28"/>
      <c r="E132" s="78" t="s">
        <v>26</v>
      </c>
      <c r="F132" s="40">
        <v>319.7</v>
      </c>
      <c r="G132" s="61">
        <v>76.400000000000006</v>
      </c>
      <c r="H132" s="61">
        <v>0.5</v>
      </c>
      <c r="I132" s="61">
        <v>0.2</v>
      </c>
      <c r="J132" s="61">
        <v>16.899999999999999</v>
      </c>
      <c r="K132" s="61">
        <v>16.7</v>
      </c>
      <c r="L132" s="61">
        <v>1.1000000000000001</v>
      </c>
      <c r="M132" s="61">
        <v>0</v>
      </c>
      <c r="N132" s="15" t="s">
        <v>55</v>
      </c>
    </row>
    <row r="133" spans="1:14" ht="20.100000000000001" customHeight="1">
      <c r="A133" s="162"/>
      <c r="B133" s="26">
        <v>0</v>
      </c>
      <c r="C133" s="36" t="str">
        <f>$C$11</f>
        <v>Pão</v>
      </c>
      <c r="D133" s="28"/>
      <c r="E133" s="78" t="s">
        <v>25</v>
      </c>
      <c r="F133" s="163" t="s">
        <v>95</v>
      </c>
      <c r="G133" s="164"/>
      <c r="H133" s="164"/>
      <c r="I133" s="164"/>
      <c r="J133" s="164"/>
      <c r="K133" s="164"/>
      <c r="L133" s="164"/>
      <c r="M133" s="165"/>
      <c r="N133" s="14"/>
    </row>
    <row r="134" spans="1:14" ht="20.100000000000001" customHeight="1">
      <c r="A134" s="30"/>
      <c r="B134" s="17">
        <v>0</v>
      </c>
      <c r="C134" s="31"/>
      <c r="D134" s="28"/>
      <c r="E134" s="71"/>
      <c r="F134" s="32"/>
      <c r="G134" s="32"/>
      <c r="H134" s="32"/>
      <c r="I134" s="32"/>
      <c r="J134" s="32"/>
      <c r="K134" s="32"/>
      <c r="L134" s="32"/>
      <c r="M134" s="32"/>
      <c r="N134" s="4"/>
    </row>
    <row r="135" spans="1:14" ht="20.100000000000001" customHeight="1" thickBot="1">
      <c r="A135" s="33"/>
      <c r="B135" s="26">
        <v>0</v>
      </c>
      <c r="C135" s="34"/>
      <c r="D135" s="28"/>
      <c r="E135" s="71"/>
      <c r="F135" s="39" t="s">
        <v>87</v>
      </c>
      <c r="G135" s="39" t="s">
        <v>88</v>
      </c>
      <c r="H135" s="39" t="s">
        <v>89</v>
      </c>
      <c r="I135" s="39" t="s">
        <v>90</v>
      </c>
      <c r="J135" s="39" t="s">
        <v>91</v>
      </c>
      <c r="K135" s="39" t="s">
        <v>476</v>
      </c>
      <c r="L135" s="39" t="s">
        <v>477</v>
      </c>
      <c r="M135" s="39" t="s">
        <v>93</v>
      </c>
      <c r="N135" s="2"/>
    </row>
    <row r="136" spans="1:14" ht="20.100000000000001" customHeight="1" thickTop="1">
      <c r="A136" s="161" t="s">
        <v>23</v>
      </c>
      <c r="B136" s="17">
        <v>0</v>
      </c>
      <c r="C136" s="35" t="str">
        <f>$C$7</f>
        <v>Sopa</v>
      </c>
      <c r="D136" s="28"/>
      <c r="E136" s="78" t="s">
        <v>448</v>
      </c>
      <c r="F136" s="40">
        <v>454.4</v>
      </c>
      <c r="G136" s="40">
        <v>108.6</v>
      </c>
      <c r="H136" s="40">
        <v>3.2</v>
      </c>
      <c r="I136" s="40">
        <v>0.4</v>
      </c>
      <c r="J136" s="40">
        <v>16.2</v>
      </c>
      <c r="K136" s="40">
        <v>4.8</v>
      </c>
      <c r="L136" s="40">
        <v>3.6</v>
      </c>
      <c r="M136" s="40">
        <v>0.2</v>
      </c>
      <c r="N136" s="15" t="s">
        <v>55</v>
      </c>
    </row>
    <row r="137" spans="1:14" ht="42.75" customHeight="1">
      <c r="A137" s="162"/>
      <c r="B137" s="26">
        <v>0</v>
      </c>
      <c r="C137" s="42" t="s">
        <v>18</v>
      </c>
      <c r="D137" s="28"/>
      <c r="E137" s="78" t="s">
        <v>403</v>
      </c>
      <c r="F137" s="40">
        <v>514.6</v>
      </c>
      <c r="G137" s="61">
        <v>122.8</v>
      </c>
      <c r="H137" s="40">
        <v>3.4</v>
      </c>
      <c r="I137" s="61">
        <v>0.5</v>
      </c>
      <c r="J137" s="40">
        <v>14.9</v>
      </c>
      <c r="K137" s="61">
        <v>2.9</v>
      </c>
      <c r="L137" s="40">
        <v>7.2</v>
      </c>
      <c r="M137" s="61">
        <v>0.1</v>
      </c>
      <c r="N137" s="15" t="s">
        <v>55</v>
      </c>
    </row>
    <row r="138" spans="1:14" ht="20.100000000000001" customHeight="1">
      <c r="A138" s="162"/>
      <c r="B138" s="17">
        <v>0</v>
      </c>
      <c r="C138" s="42" t="s">
        <v>373</v>
      </c>
      <c r="D138" s="28"/>
      <c r="E138" s="78" t="s">
        <v>122</v>
      </c>
      <c r="F138" s="40">
        <f>20+32.4+28.5</f>
        <v>80.900000000000006</v>
      </c>
      <c r="G138" s="40">
        <f>4.8+7.7+6.8</f>
        <v>19.3</v>
      </c>
      <c r="H138" s="40">
        <v>0.1</v>
      </c>
      <c r="I138" s="40">
        <v>0</v>
      </c>
      <c r="J138" s="40">
        <f>0.3+1.8+1.2</f>
        <v>3.3</v>
      </c>
      <c r="K138" s="40">
        <f>7.3+1.6+1</f>
        <v>9.9</v>
      </c>
      <c r="L138" s="40">
        <f>0.7+0.2+0.6</f>
        <v>1.5</v>
      </c>
      <c r="M138" s="40">
        <v>0.1</v>
      </c>
      <c r="N138" s="15" t="s">
        <v>55</v>
      </c>
    </row>
    <row r="139" spans="1:14" ht="20.100000000000001" customHeight="1">
      <c r="A139" s="162"/>
      <c r="B139" s="26">
        <v>0</v>
      </c>
      <c r="C139" s="36" t="str">
        <f>$C$10</f>
        <v>Sobremesa</v>
      </c>
      <c r="D139" s="28"/>
      <c r="E139" s="78" t="s">
        <v>38</v>
      </c>
      <c r="F139" s="40">
        <v>319.7</v>
      </c>
      <c r="G139" s="61">
        <v>76.400000000000006</v>
      </c>
      <c r="H139" s="61">
        <v>0.5</v>
      </c>
      <c r="I139" s="61">
        <v>0.2</v>
      </c>
      <c r="J139" s="61">
        <v>16.899999999999999</v>
      </c>
      <c r="K139" s="61">
        <v>16.7</v>
      </c>
      <c r="L139" s="61">
        <v>1.1000000000000001</v>
      </c>
      <c r="M139" s="61">
        <v>0</v>
      </c>
      <c r="N139" s="15" t="s">
        <v>55</v>
      </c>
    </row>
    <row r="140" spans="1:14" ht="20.100000000000001" customHeight="1">
      <c r="A140" s="162"/>
      <c r="B140" s="17">
        <v>0</v>
      </c>
      <c r="C140" s="36" t="str">
        <f>$C$11</f>
        <v>Pão</v>
      </c>
      <c r="D140" s="28"/>
      <c r="E140" s="81" t="s">
        <v>25</v>
      </c>
      <c r="F140" s="163" t="s">
        <v>95</v>
      </c>
      <c r="G140" s="164"/>
      <c r="H140" s="164"/>
      <c r="I140" s="164"/>
      <c r="J140" s="164"/>
      <c r="K140" s="164"/>
      <c r="L140" s="164"/>
      <c r="M140" s="165"/>
      <c r="N140" s="14"/>
    </row>
    <row r="141" spans="1:14" ht="20.100000000000001" customHeight="1">
      <c r="A141" s="30"/>
      <c r="B141" s="26">
        <v>0</v>
      </c>
      <c r="C141" s="31"/>
      <c r="D141" s="28"/>
      <c r="E141" s="71"/>
      <c r="F141" s="32"/>
      <c r="G141" s="32"/>
      <c r="H141" s="32"/>
      <c r="I141" s="32"/>
      <c r="J141" s="32"/>
      <c r="K141" s="32"/>
      <c r="L141" s="32"/>
      <c r="M141" s="32"/>
      <c r="N141" s="4"/>
    </row>
    <row r="142" spans="1:14" ht="20.100000000000001" customHeight="1" thickBot="1">
      <c r="A142" s="33"/>
      <c r="B142" s="17">
        <v>0</v>
      </c>
      <c r="C142" s="34"/>
      <c r="D142" s="28"/>
      <c r="E142" s="68"/>
      <c r="F142" s="39" t="s">
        <v>87</v>
      </c>
      <c r="G142" s="39" t="s">
        <v>88</v>
      </c>
      <c r="H142" s="39" t="s">
        <v>89</v>
      </c>
      <c r="I142" s="39" t="s">
        <v>90</v>
      </c>
      <c r="J142" s="39" t="s">
        <v>91</v>
      </c>
      <c r="K142" s="39" t="s">
        <v>476</v>
      </c>
      <c r="L142" s="39" t="s">
        <v>477</v>
      </c>
      <c r="M142" s="39" t="s">
        <v>93</v>
      </c>
      <c r="N142" s="11"/>
    </row>
    <row r="143" spans="1:14" ht="20.100000000000001" customHeight="1" thickTop="1">
      <c r="A143" s="161" t="s">
        <v>24</v>
      </c>
      <c r="B143" s="26">
        <v>0</v>
      </c>
      <c r="C143" s="35" t="str">
        <f>$C$7</f>
        <v>Sopa</v>
      </c>
      <c r="D143" s="28"/>
      <c r="E143" s="78" t="s">
        <v>27</v>
      </c>
      <c r="F143" s="60">
        <v>470.2</v>
      </c>
      <c r="G143" s="60">
        <v>112.4</v>
      </c>
      <c r="H143" s="60">
        <v>3.3</v>
      </c>
      <c r="I143" s="60">
        <v>0.5</v>
      </c>
      <c r="J143" s="60">
        <v>17.2</v>
      </c>
      <c r="K143" s="60">
        <v>5.6</v>
      </c>
      <c r="L143" s="60">
        <v>3.3</v>
      </c>
      <c r="M143" s="60">
        <v>0.2</v>
      </c>
      <c r="N143" s="15" t="s">
        <v>55</v>
      </c>
    </row>
    <row r="144" spans="1:14" ht="37.5" customHeight="1">
      <c r="A144" s="162"/>
      <c r="B144" s="17">
        <v>0</v>
      </c>
      <c r="C144" s="42" t="s">
        <v>18</v>
      </c>
      <c r="D144" s="28"/>
      <c r="E144" s="78" t="s">
        <v>462</v>
      </c>
      <c r="F144" s="60">
        <v>1940.4</v>
      </c>
      <c r="G144" s="60">
        <v>463.7</v>
      </c>
      <c r="H144" s="60">
        <v>1.3</v>
      </c>
      <c r="I144" s="60">
        <v>0.4</v>
      </c>
      <c r="J144" s="60">
        <v>88.1</v>
      </c>
      <c r="K144" s="60">
        <v>7.9</v>
      </c>
      <c r="L144" s="60">
        <v>22.7</v>
      </c>
      <c r="M144" s="60">
        <v>0.3</v>
      </c>
      <c r="N144" s="15" t="s">
        <v>55</v>
      </c>
    </row>
    <row r="145" spans="1:14" ht="20.100000000000001" customHeight="1">
      <c r="A145" s="162"/>
      <c r="B145" s="26">
        <v>0</v>
      </c>
      <c r="C145" s="42" t="s">
        <v>373</v>
      </c>
      <c r="D145" s="28"/>
      <c r="E145" s="78" t="s">
        <v>114</v>
      </c>
      <c r="F145" s="40">
        <f>20+25.6+40</f>
        <v>85.6</v>
      </c>
      <c r="G145" s="40">
        <f>4.8+6.1+9.6</f>
        <v>20.5</v>
      </c>
      <c r="H145" s="40">
        <f>0.1+0.2+0.2</f>
        <v>0.5</v>
      </c>
      <c r="I145" s="40">
        <v>0.1</v>
      </c>
      <c r="J145" s="40">
        <f>0.3+0.6+1.8</f>
        <v>2.7</v>
      </c>
      <c r="K145" s="40">
        <f>0.3+0.6+1.8</f>
        <v>2.7</v>
      </c>
      <c r="L145" s="40">
        <f>0.7+0.5+0.4</f>
        <v>1.6</v>
      </c>
      <c r="M145" s="40">
        <v>0</v>
      </c>
      <c r="N145" s="15" t="s">
        <v>55</v>
      </c>
    </row>
    <row r="146" spans="1:14" ht="20.100000000000001" customHeight="1">
      <c r="A146" s="162"/>
      <c r="B146" s="17">
        <v>0</v>
      </c>
      <c r="C146" s="36" t="str">
        <f>$C$10</f>
        <v>Sobremesa</v>
      </c>
      <c r="D146" s="28"/>
      <c r="E146" s="78" t="s">
        <v>26</v>
      </c>
      <c r="F146" s="40">
        <v>319.7</v>
      </c>
      <c r="G146" s="61">
        <v>76.400000000000006</v>
      </c>
      <c r="H146" s="61">
        <v>0.5</v>
      </c>
      <c r="I146" s="61">
        <v>0.2</v>
      </c>
      <c r="J146" s="61">
        <v>16.899999999999999</v>
      </c>
      <c r="K146" s="61">
        <v>16.7</v>
      </c>
      <c r="L146" s="61">
        <v>1.1000000000000001</v>
      </c>
      <c r="M146" s="61">
        <v>0</v>
      </c>
      <c r="N146" s="15" t="s">
        <v>55</v>
      </c>
    </row>
    <row r="147" spans="1:14" ht="20.100000000000001" customHeight="1">
      <c r="A147" s="162"/>
      <c r="B147" s="26">
        <v>0</v>
      </c>
      <c r="C147" s="36" t="str">
        <f>$C$11</f>
        <v>Pão</v>
      </c>
      <c r="D147" s="28"/>
      <c r="E147" s="81" t="s">
        <v>25</v>
      </c>
      <c r="F147" s="163" t="s">
        <v>95</v>
      </c>
      <c r="G147" s="164"/>
      <c r="H147" s="164"/>
      <c r="I147" s="164"/>
      <c r="J147" s="164"/>
      <c r="K147" s="164"/>
      <c r="L147" s="164"/>
      <c r="M147" s="165"/>
      <c r="N147" s="14"/>
    </row>
    <row r="148" spans="1:14" ht="123" customHeight="1">
      <c r="A148" s="166" t="str">
        <f>+A$40</f>
        <v xml:space="preserve">
A sua refeição contém ou pode conter as seguintes substâncias ou produtos e seus derivados: 1Cereais que contêm glúten, 2Crustáceos , 3Ovos, 4Peixes, 5Amendoins, 6Soja, 7Leite, 8Frutos de casca rija, 9Aipo, 10Mostarda, 11Sementes de sésamo, 12Dióxido de enxofre e sulfitos, 13Tremoço, 14Moluscos. 
Para quem não é alérgico ou intolerante, estas substâncias ou produtos são completamente inofensivas. 
Caso necessite informação adicional sobre os produtos em causa deve solicitar aos funcionários.
Declaração nutricional: valores médios de 100 g ou 100 ml, calculados a partir dos valores médios conhecidos dos ingredientes utilizados, segundo o Instituto Nacional de Saúde Dr. Ricardo Jorge, Tabela da Composição de Alimentos (2007), e a informação disponibilizada pelos fornecedores.
Legenda: VE - Valor energético, Líp. - Lípidos, AG Sat. - Ácidos Gordos Saturados, HC - Hidratos de Carbono, Prot. - Proteínas.
</v>
      </c>
      <c r="B148" s="167"/>
      <c r="C148" s="167"/>
      <c r="D148" s="167"/>
      <c r="E148" s="167"/>
      <c r="F148" s="167"/>
      <c r="G148" s="167"/>
      <c r="H148" s="167"/>
      <c r="I148" s="167"/>
      <c r="J148" s="167"/>
      <c r="K148" s="167"/>
      <c r="L148" s="167"/>
      <c r="M148" s="167"/>
      <c r="N148" s="5"/>
    </row>
    <row r="149" spans="1:14" ht="39.950000000000003" customHeight="1">
      <c r="B149" s="26">
        <v>0</v>
      </c>
      <c r="C149" s="63" t="s">
        <v>105</v>
      </c>
      <c r="D149" s="24"/>
      <c r="E149" s="72" t="s">
        <v>391</v>
      </c>
      <c r="F149" s="37"/>
      <c r="G149" s="37"/>
      <c r="H149" s="37"/>
      <c r="I149" s="37"/>
      <c r="J149" s="37"/>
      <c r="K149" s="37"/>
      <c r="L149" s="37"/>
      <c r="M149" s="37"/>
      <c r="N149" s="1"/>
    </row>
    <row r="150" spans="1:14" ht="20.100000000000001" customHeight="1" thickBot="1">
      <c r="B150" s="17">
        <v>0</v>
      </c>
      <c r="E150" s="68"/>
      <c r="F150" s="39" t="s">
        <v>87</v>
      </c>
      <c r="G150" s="39" t="s">
        <v>88</v>
      </c>
      <c r="H150" s="39" t="s">
        <v>89</v>
      </c>
      <c r="I150" s="39" t="s">
        <v>90</v>
      </c>
      <c r="J150" s="39" t="s">
        <v>91</v>
      </c>
      <c r="K150" s="39" t="s">
        <v>476</v>
      </c>
      <c r="L150" s="39" t="s">
        <v>477</v>
      </c>
      <c r="M150" s="39" t="s">
        <v>93</v>
      </c>
      <c r="N150" s="3"/>
    </row>
    <row r="151" spans="1:14" ht="20.100000000000001" customHeight="1" thickTop="1">
      <c r="A151" s="161" t="s">
        <v>16</v>
      </c>
      <c r="B151" s="26">
        <v>0</v>
      </c>
      <c r="C151" s="27" t="s">
        <v>17</v>
      </c>
      <c r="D151" s="28"/>
      <c r="E151" s="70" t="s">
        <v>124</v>
      </c>
      <c r="F151" s="40">
        <v>569.1</v>
      </c>
      <c r="G151" s="40">
        <v>136</v>
      </c>
      <c r="H151" s="40">
        <v>3.8</v>
      </c>
      <c r="I151" s="40">
        <v>0.7</v>
      </c>
      <c r="J151" s="40">
        <v>20.399999999999999</v>
      </c>
      <c r="K151" s="40">
        <v>5.9</v>
      </c>
      <c r="L151" s="40">
        <v>4.8</v>
      </c>
      <c r="M151" s="40">
        <v>0.2</v>
      </c>
      <c r="N151" s="15" t="s">
        <v>55</v>
      </c>
    </row>
    <row r="152" spans="1:14" ht="40.5" customHeight="1">
      <c r="A152" s="162"/>
      <c r="B152" s="17">
        <v>0</v>
      </c>
      <c r="C152" s="42" t="s">
        <v>18</v>
      </c>
      <c r="D152" s="28"/>
      <c r="E152" s="70" t="s">
        <v>421</v>
      </c>
      <c r="F152" s="60">
        <v>1615.6</v>
      </c>
      <c r="G152" s="40">
        <v>386.1</v>
      </c>
      <c r="H152" s="40">
        <v>5.0999999999999996</v>
      </c>
      <c r="I152" s="40">
        <v>0.9</v>
      </c>
      <c r="J152" s="40">
        <v>67.400000000000006</v>
      </c>
      <c r="K152" s="40">
        <v>9.1999999999999993</v>
      </c>
      <c r="L152" s="40">
        <v>16.2</v>
      </c>
      <c r="M152" s="40">
        <v>0.3</v>
      </c>
      <c r="N152" s="15" t="s">
        <v>55</v>
      </c>
    </row>
    <row r="153" spans="1:14" ht="20.100000000000001" customHeight="1">
      <c r="A153" s="162"/>
      <c r="B153" s="26">
        <v>0</v>
      </c>
      <c r="C153" s="42" t="s">
        <v>373</v>
      </c>
      <c r="D153" s="28"/>
      <c r="E153" s="70" t="s">
        <v>451</v>
      </c>
      <c r="F153" s="40">
        <f>20+163.3+25.6</f>
        <v>208.9</v>
      </c>
      <c r="G153" s="40">
        <f>4.8+39.2+6.1</f>
        <v>50.1</v>
      </c>
      <c r="H153" s="40">
        <v>0.8</v>
      </c>
      <c r="I153" s="40">
        <v>0</v>
      </c>
      <c r="J153" s="40">
        <f>0.3+7.1+0.6</f>
        <v>7.9999999999999991</v>
      </c>
      <c r="K153" s="40">
        <f>0.3+0.6</f>
        <v>0.89999999999999991</v>
      </c>
      <c r="L153" s="40">
        <f>0.7+1.5+0.5</f>
        <v>2.7</v>
      </c>
      <c r="M153" s="40">
        <v>0</v>
      </c>
      <c r="N153" s="15" t="s">
        <v>55</v>
      </c>
    </row>
    <row r="154" spans="1:14" ht="20.100000000000001" customHeight="1">
      <c r="A154" s="162"/>
      <c r="B154" s="17">
        <v>0</v>
      </c>
      <c r="C154" s="29" t="s">
        <v>19</v>
      </c>
      <c r="D154" s="28"/>
      <c r="E154" s="69" t="s">
        <v>26</v>
      </c>
      <c r="F154" s="40">
        <v>319.7</v>
      </c>
      <c r="G154" s="61">
        <v>76.400000000000006</v>
      </c>
      <c r="H154" s="61">
        <v>0.5</v>
      </c>
      <c r="I154" s="61">
        <v>0.2</v>
      </c>
      <c r="J154" s="61">
        <v>16.899999999999999</v>
      </c>
      <c r="K154" s="61">
        <v>16.7</v>
      </c>
      <c r="L154" s="61">
        <v>1.1000000000000001</v>
      </c>
      <c r="M154" s="61">
        <v>0</v>
      </c>
      <c r="N154" s="15" t="s">
        <v>55</v>
      </c>
    </row>
    <row r="155" spans="1:14" ht="20.100000000000001" customHeight="1">
      <c r="A155" s="162"/>
      <c r="B155" s="26">
        <v>0</v>
      </c>
      <c r="C155" s="29" t="s">
        <v>20</v>
      </c>
      <c r="D155" s="28"/>
      <c r="E155" s="70" t="s">
        <v>25</v>
      </c>
      <c r="F155" s="163" t="s">
        <v>95</v>
      </c>
      <c r="G155" s="164"/>
      <c r="H155" s="164"/>
      <c r="I155" s="164"/>
      <c r="J155" s="164"/>
      <c r="K155" s="164"/>
      <c r="L155" s="164"/>
      <c r="M155" s="165"/>
      <c r="N155" s="14"/>
    </row>
    <row r="156" spans="1:14" ht="20.100000000000001" customHeight="1">
      <c r="A156" s="30"/>
      <c r="B156" s="17">
        <v>0</v>
      </c>
      <c r="C156" s="31"/>
      <c r="D156" s="28"/>
      <c r="E156" s="71"/>
      <c r="F156" s="32"/>
      <c r="G156" s="32"/>
      <c r="H156" s="32"/>
      <c r="I156" s="32"/>
      <c r="J156" s="32"/>
      <c r="K156" s="32"/>
      <c r="L156" s="32"/>
      <c r="M156" s="32"/>
      <c r="N156" s="4"/>
    </row>
    <row r="157" spans="1:14" ht="20.100000000000001" customHeight="1" thickBot="1">
      <c r="A157" s="33"/>
      <c r="B157" s="26">
        <v>0</v>
      </c>
      <c r="C157" s="34"/>
      <c r="D157" s="28"/>
      <c r="E157" s="68"/>
      <c r="F157" s="39" t="s">
        <v>87</v>
      </c>
      <c r="G157" s="39" t="s">
        <v>88</v>
      </c>
      <c r="H157" s="39" t="s">
        <v>89</v>
      </c>
      <c r="I157" s="39" t="s">
        <v>90</v>
      </c>
      <c r="J157" s="39" t="s">
        <v>91</v>
      </c>
      <c r="K157" s="39" t="s">
        <v>476</v>
      </c>
      <c r="L157" s="39" t="s">
        <v>477</v>
      </c>
      <c r="M157" s="39" t="s">
        <v>93</v>
      </c>
      <c r="N157" s="11"/>
    </row>
    <row r="158" spans="1:14" ht="20.100000000000001" customHeight="1" thickTop="1">
      <c r="A158" s="161" t="s">
        <v>21</v>
      </c>
      <c r="B158" s="17">
        <v>0</v>
      </c>
      <c r="C158" s="35" t="str">
        <f>$C$7</f>
        <v>Sopa</v>
      </c>
      <c r="D158" s="28"/>
      <c r="E158" s="69" t="s">
        <v>450</v>
      </c>
      <c r="F158" s="40">
        <v>994.4</v>
      </c>
      <c r="G158" s="40">
        <v>237.9</v>
      </c>
      <c r="H158" s="40">
        <v>5.2</v>
      </c>
      <c r="I158" s="40">
        <v>0.7</v>
      </c>
      <c r="J158" s="40">
        <v>36.1</v>
      </c>
      <c r="K158" s="40">
        <v>5.3</v>
      </c>
      <c r="L158" s="40">
        <v>10.8</v>
      </c>
      <c r="M158" s="40">
        <v>0.2</v>
      </c>
      <c r="N158" s="15" t="s">
        <v>55</v>
      </c>
    </row>
    <row r="159" spans="1:14" ht="36.75" customHeight="1">
      <c r="A159" s="162"/>
      <c r="B159" s="26">
        <v>0</v>
      </c>
      <c r="C159" s="42" t="s">
        <v>18</v>
      </c>
      <c r="D159" s="28"/>
      <c r="E159" s="69" t="s">
        <v>411</v>
      </c>
      <c r="F159" s="40">
        <v>548.5</v>
      </c>
      <c r="G159" s="40">
        <v>131.1</v>
      </c>
      <c r="H159" s="40">
        <v>3.8</v>
      </c>
      <c r="I159" s="40">
        <v>0.6</v>
      </c>
      <c r="J159" s="40">
        <v>13.8</v>
      </c>
      <c r="K159" s="40">
        <v>6.6</v>
      </c>
      <c r="L159" s="40">
        <v>10.4</v>
      </c>
      <c r="M159" s="40">
        <v>0.2</v>
      </c>
      <c r="N159" s="15" t="s">
        <v>55</v>
      </c>
    </row>
    <row r="160" spans="1:14" ht="30.75" customHeight="1">
      <c r="A160" s="162"/>
      <c r="B160" s="17">
        <v>0</v>
      </c>
      <c r="C160" s="42" t="s">
        <v>373</v>
      </c>
      <c r="D160" s="28"/>
      <c r="E160" s="69" t="s">
        <v>449</v>
      </c>
      <c r="F160" s="40">
        <f>20+163.3+23</f>
        <v>206.3</v>
      </c>
      <c r="G160" s="40">
        <f>4.8+39.2+5.5</f>
        <v>49.5</v>
      </c>
      <c r="H160" s="40">
        <v>0.8</v>
      </c>
      <c r="I160" s="40">
        <v>0</v>
      </c>
      <c r="J160" s="40">
        <f>0.3+7.1+0.7</f>
        <v>8.1</v>
      </c>
      <c r="K160" s="40">
        <f>0.3+0.6</f>
        <v>0.89999999999999991</v>
      </c>
      <c r="L160" s="40">
        <f>0.7+1.5+0.4</f>
        <v>2.6</v>
      </c>
      <c r="M160" s="40">
        <v>0</v>
      </c>
      <c r="N160" s="15" t="s">
        <v>55</v>
      </c>
    </row>
    <row r="161" spans="1:16" ht="20.100000000000001" customHeight="1">
      <c r="A161" s="162"/>
      <c r="B161" s="26">
        <v>0</v>
      </c>
      <c r="C161" s="36" t="str">
        <f>$C$10</f>
        <v>Sobremesa</v>
      </c>
      <c r="D161" s="28"/>
      <c r="E161" s="69" t="s">
        <v>128</v>
      </c>
      <c r="F161" s="40" t="s">
        <v>478</v>
      </c>
      <c r="G161" s="61" t="s">
        <v>479</v>
      </c>
      <c r="H161" s="61" t="s">
        <v>480</v>
      </c>
      <c r="I161" s="61" t="s">
        <v>481</v>
      </c>
      <c r="J161" s="61" t="s">
        <v>482</v>
      </c>
      <c r="K161" s="61" t="s">
        <v>483</v>
      </c>
      <c r="L161" s="61" t="s">
        <v>484</v>
      </c>
      <c r="M161" s="61" t="s">
        <v>485</v>
      </c>
      <c r="N161" s="15" t="s">
        <v>55</v>
      </c>
    </row>
    <row r="162" spans="1:16" ht="20.100000000000001" customHeight="1">
      <c r="A162" s="162"/>
      <c r="B162" s="17">
        <v>0</v>
      </c>
      <c r="C162" s="36" t="str">
        <f>$C$11</f>
        <v>Pão</v>
      </c>
      <c r="D162" s="28"/>
      <c r="E162" s="70" t="s">
        <v>25</v>
      </c>
      <c r="F162" s="163" t="s">
        <v>95</v>
      </c>
      <c r="G162" s="164"/>
      <c r="H162" s="164"/>
      <c r="I162" s="164"/>
      <c r="J162" s="164"/>
      <c r="K162" s="164"/>
      <c r="L162" s="164"/>
      <c r="M162" s="165"/>
      <c r="N162" s="14"/>
    </row>
    <row r="163" spans="1:16" ht="20.100000000000001" customHeight="1">
      <c r="A163" s="30"/>
      <c r="B163" s="26">
        <v>0</v>
      </c>
      <c r="C163" s="31"/>
      <c r="D163" s="28"/>
      <c r="E163" s="71"/>
      <c r="F163" s="32"/>
      <c r="G163" s="32"/>
      <c r="H163" s="32"/>
      <c r="I163" s="32"/>
      <c r="J163" s="32"/>
      <c r="K163" s="32"/>
      <c r="L163" s="32"/>
      <c r="M163" s="32"/>
      <c r="N163" s="4"/>
    </row>
    <row r="164" spans="1:16" ht="20.100000000000001" customHeight="1" thickBot="1">
      <c r="A164" s="33"/>
      <c r="B164" s="17">
        <v>0</v>
      </c>
      <c r="C164" s="34"/>
      <c r="D164" s="28"/>
      <c r="F164" s="39" t="s">
        <v>87</v>
      </c>
      <c r="G164" s="39" t="s">
        <v>88</v>
      </c>
      <c r="H164" s="39" t="s">
        <v>89</v>
      </c>
      <c r="I164" s="39" t="s">
        <v>90</v>
      </c>
      <c r="J164" s="39" t="s">
        <v>91</v>
      </c>
      <c r="K164" s="39" t="s">
        <v>476</v>
      </c>
      <c r="L164" s="39" t="s">
        <v>477</v>
      </c>
      <c r="M164" s="39" t="s">
        <v>93</v>
      </c>
      <c r="N164" s="11"/>
    </row>
    <row r="165" spans="1:16" ht="20.100000000000001" customHeight="1" thickTop="1">
      <c r="A165" s="161" t="s">
        <v>22</v>
      </c>
      <c r="B165" s="26">
        <v>0</v>
      </c>
      <c r="C165" s="35" t="str">
        <f>$C$7</f>
        <v>Sopa</v>
      </c>
      <c r="D165" s="28"/>
      <c r="E165" s="69" t="s">
        <v>125</v>
      </c>
      <c r="F165" s="40">
        <v>430.3</v>
      </c>
      <c r="G165" s="40">
        <v>102.8</v>
      </c>
      <c r="H165" s="40">
        <v>3.3</v>
      </c>
      <c r="I165" s="40">
        <v>0.5</v>
      </c>
      <c r="J165" s="40">
        <v>15.6</v>
      </c>
      <c r="K165" s="40">
        <v>4.4000000000000004</v>
      </c>
      <c r="L165" s="40">
        <v>2.5</v>
      </c>
      <c r="M165" s="40">
        <v>0.2</v>
      </c>
      <c r="N165" s="15" t="s">
        <v>55</v>
      </c>
    </row>
    <row r="166" spans="1:16" ht="20.100000000000001" customHeight="1">
      <c r="A166" s="162"/>
      <c r="B166" s="17">
        <v>0</v>
      </c>
      <c r="C166" s="42" t="s">
        <v>18</v>
      </c>
      <c r="D166" s="28"/>
      <c r="E166" s="151" t="s">
        <v>404</v>
      </c>
      <c r="F166" s="60"/>
      <c r="G166" s="40"/>
      <c r="H166" s="40"/>
      <c r="I166" s="40"/>
      <c r="J166" s="40"/>
      <c r="K166" s="40"/>
      <c r="L166" s="40"/>
      <c r="M166" s="40"/>
      <c r="N166" s="15" t="s">
        <v>55</v>
      </c>
      <c r="P166" s="2" t="s">
        <v>725</v>
      </c>
    </row>
    <row r="167" spans="1:16" ht="20.100000000000001" customHeight="1">
      <c r="A167" s="162"/>
      <c r="B167" s="26">
        <v>0</v>
      </c>
      <c r="C167" s="42" t="s">
        <v>373</v>
      </c>
      <c r="D167" s="28"/>
      <c r="E167" s="69" t="s">
        <v>126</v>
      </c>
      <c r="F167" s="40">
        <f>20+28.5+25.6</f>
        <v>74.099999999999994</v>
      </c>
      <c r="G167" s="40">
        <f>4.8+6.8+6.1</f>
        <v>17.7</v>
      </c>
      <c r="H167" s="40">
        <v>0.3</v>
      </c>
      <c r="I167" s="40">
        <v>0</v>
      </c>
      <c r="J167" s="40">
        <f>0.3+1.2+0.6</f>
        <v>2.1</v>
      </c>
      <c r="K167" s="40">
        <f>0.3+1+0.6</f>
        <v>1.9</v>
      </c>
      <c r="L167" s="40">
        <f>0.7+0.6+0.5</f>
        <v>1.7999999999999998</v>
      </c>
      <c r="M167" s="40">
        <v>0</v>
      </c>
      <c r="N167" s="15" t="s">
        <v>55</v>
      </c>
    </row>
    <row r="168" spans="1:16" ht="20.100000000000001" customHeight="1">
      <c r="A168" s="162"/>
      <c r="B168" s="17">
        <v>0</v>
      </c>
      <c r="C168" s="36" t="str">
        <f>$C$10</f>
        <v>Sobremesa</v>
      </c>
      <c r="D168" s="28"/>
      <c r="E168" s="69" t="s">
        <v>26</v>
      </c>
      <c r="F168" s="40">
        <v>319.7</v>
      </c>
      <c r="G168" s="61">
        <v>76.400000000000006</v>
      </c>
      <c r="H168" s="61">
        <v>0.5</v>
      </c>
      <c r="I168" s="61">
        <v>0.2</v>
      </c>
      <c r="J168" s="61">
        <v>16.899999999999999</v>
      </c>
      <c r="K168" s="61">
        <v>16.7</v>
      </c>
      <c r="L168" s="61">
        <v>1.1000000000000001</v>
      </c>
      <c r="M168" s="61">
        <v>0</v>
      </c>
      <c r="N168" s="15" t="s">
        <v>55</v>
      </c>
    </row>
    <row r="169" spans="1:16" ht="20.100000000000001" customHeight="1">
      <c r="A169" s="162"/>
      <c r="B169" s="26">
        <v>0</v>
      </c>
      <c r="C169" s="36" t="str">
        <f>$C$11</f>
        <v>Pão</v>
      </c>
      <c r="D169" s="28"/>
      <c r="E169" s="70" t="s">
        <v>25</v>
      </c>
      <c r="F169" s="163" t="s">
        <v>95</v>
      </c>
      <c r="G169" s="164"/>
      <c r="H169" s="164"/>
      <c r="I169" s="164"/>
      <c r="J169" s="164"/>
      <c r="K169" s="164"/>
      <c r="L169" s="164"/>
      <c r="M169" s="165"/>
      <c r="N169" s="14"/>
    </row>
    <row r="170" spans="1:16" ht="20.100000000000001" customHeight="1">
      <c r="A170" s="30"/>
      <c r="B170" s="17">
        <v>0</v>
      </c>
      <c r="C170" s="31"/>
      <c r="D170" s="28"/>
      <c r="F170" s="32"/>
      <c r="G170" s="32"/>
      <c r="H170" s="32"/>
      <c r="I170" s="32"/>
      <c r="J170" s="32"/>
      <c r="K170" s="32"/>
      <c r="L170" s="32"/>
      <c r="M170" s="32"/>
      <c r="N170" s="4"/>
    </row>
    <row r="171" spans="1:16" ht="20.100000000000001" customHeight="1" thickBot="1">
      <c r="A171" s="33"/>
      <c r="B171" s="26">
        <v>0</v>
      </c>
      <c r="C171" s="34"/>
      <c r="D171" s="28"/>
      <c r="E171" s="68"/>
      <c r="F171" s="39" t="s">
        <v>87</v>
      </c>
      <c r="G171" s="39" t="s">
        <v>88</v>
      </c>
      <c r="H171" s="39" t="s">
        <v>89</v>
      </c>
      <c r="I171" s="39" t="s">
        <v>90</v>
      </c>
      <c r="J171" s="39" t="s">
        <v>91</v>
      </c>
      <c r="K171" s="39" t="s">
        <v>476</v>
      </c>
      <c r="L171" s="39" t="s">
        <v>477</v>
      </c>
      <c r="M171" s="39" t="s">
        <v>93</v>
      </c>
      <c r="N171" s="11"/>
    </row>
    <row r="172" spans="1:16" ht="20.100000000000001" customHeight="1" thickTop="1">
      <c r="A172" s="161" t="s">
        <v>23</v>
      </c>
      <c r="B172" s="17">
        <v>0</v>
      </c>
      <c r="C172" s="35" t="str">
        <f>$C$7</f>
        <v>Sopa</v>
      </c>
      <c r="D172" s="28"/>
      <c r="E172" s="69"/>
      <c r="F172" s="40"/>
      <c r="G172" s="40"/>
      <c r="H172" s="40"/>
      <c r="I172" s="40"/>
      <c r="J172" s="40"/>
      <c r="K172" s="40"/>
      <c r="L172" s="40"/>
      <c r="M172" s="40"/>
      <c r="N172" s="15" t="s">
        <v>55</v>
      </c>
    </row>
    <row r="173" spans="1:16" ht="39.75" customHeight="1">
      <c r="A173" s="162"/>
      <c r="B173" s="26">
        <v>0</v>
      </c>
      <c r="C173" s="42" t="s">
        <v>18</v>
      </c>
      <c r="D173" s="28"/>
      <c r="E173" s="79" t="s">
        <v>392</v>
      </c>
      <c r="F173" s="60"/>
      <c r="G173" s="40"/>
      <c r="H173" s="40"/>
      <c r="I173" s="40"/>
      <c r="J173" s="40"/>
      <c r="K173" s="40"/>
      <c r="L173" s="40"/>
      <c r="M173" s="40"/>
      <c r="N173" s="15" t="s">
        <v>55</v>
      </c>
    </row>
    <row r="174" spans="1:16" ht="20.100000000000001" customHeight="1">
      <c r="A174" s="162"/>
      <c r="B174" s="17">
        <v>0</v>
      </c>
      <c r="C174" s="42" t="s">
        <v>373</v>
      </c>
      <c r="D174" s="28"/>
      <c r="E174" s="69"/>
      <c r="F174" s="40"/>
      <c r="G174" s="40"/>
      <c r="H174" s="40"/>
      <c r="I174" s="40"/>
      <c r="J174" s="40"/>
      <c r="K174" s="40"/>
      <c r="L174" s="40"/>
      <c r="M174" s="40"/>
      <c r="N174" s="14" t="s">
        <v>55</v>
      </c>
    </row>
    <row r="175" spans="1:16" ht="20.100000000000001" customHeight="1">
      <c r="A175" s="162"/>
      <c r="B175" s="26">
        <v>0</v>
      </c>
      <c r="C175" s="36" t="str">
        <f>$C$10</f>
        <v>Sobremesa</v>
      </c>
      <c r="D175" s="28"/>
      <c r="E175" s="69"/>
      <c r="F175" s="40"/>
      <c r="G175" s="61"/>
      <c r="H175" s="61"/>
      <c r="I175" s="61"/>
      <c r="J175" s="61"/>
      <c r="K175" s="61"/>
      <c r="L175" s="61"/>
      <c r="M175" s="61"/>
      <c r="N175" s="15" t="s">
        <v>55</v>
      </c>
    </row>
    <row r="176" spans="1:16" ht="20.100000000000001" customHeight="1">
      <c r="A176" s="162"/>
      <c r="B176" s="17">
        <v>0</v>
      </c>
      <c r="C176" s="36" t="str">
        <f>$C$11</f>
        <v>Pão</v>
      </c>
      <c r="D176" s="28"/>
      <c r="E176" s="70"/>
      <c r="F176" s="163" t="s">
        <v>95</v>
      </c>
      <c r="G176" s="164"/>
      <c r="H176" s="164"/>
      <c r="I176" s="164"/>
      <c r="J176" s="164"/>
      <c r="K176" s="164"/>
      <c r="L176" s="164"/>
      <c r="M176" s="165"/>
      <c r="N176" s="14"/>
    </row>
    <row r="177" spans="1:14" ht="20.100000000000001" customHeight="1">
      <c r="A177" s="30"/>
      <c r="B177" s="26">
        <v>0</v>
      </c>
      <c r="C177" s="31"/>
      <c r="D177" s="28"/>
      <c r="E177" s="71"/>
      <c r="F177" s="32"/>
      <c r="G177" s="32"/>
      <c r="H177" s="32"/>
      <c r="I177" s="32"/>
      <c r="J177" s="32"/>
      <c r="K177" s="32"/>
      <c r="L177" s="32"/>
      <c r="M177" s="32"/>
      <c r="N177" s="4"/>
    </row>
    <row r="178" spans="1:14" ht="20.100000000000001" customHeight="1" thickBot="1">
      <c r="A178" s="33"/>
      <c r="B178" s="17">
        <v>0</v>
      </c>
      <c r="C178" s="34"/>
      <c r="D178" s="28"/>
      <c r="E178" s="68"/>
      <c r="F178" s="39" t="s">
        <v>87</v>
      </c>
      <c r="G178" s="39" t="s">
        <v>88</v>
      </c>
      <c r="H178" s="39" t="s">
        <v>89</v>
      </c>
      <c r="I178" s="39" t="s">
        <v>90</v>
      </c>
      <c r="J178" s="39" t="s">
        <v>91</v>
      </c>
      <c r="K178" s="39" t="s">
        <v>476</v>
      </c>
      <c r="L178" s="39" t="s">
        <v>477</v>
      </c>
      <c r="M178" s="39" t="s">
        <v>93</v>
      </c>
      <c r="N178" s="11"/>
    </row>
    <row r="179" spans="1:14" ht="20.100000000000001" customHeight="1" thickTop="1">
      <c r="A179" s="161" t="s">
        <v>24</v>
      </c>
      <c r="B179" s="26">
        <v>0</v>
      </c>
      <c r="C179" s="35" t="str">
        <f>$C$7</f>
        <v>Sopa</v>
      </c>
      <c r="D179" s="28"/>
      <c r="E179" s="69" t="s">
        <v>40</v>
      </c>
      <c r="F179" s="40">
        <v>528.20000000000005</v>
      </c>
      <c r="G179" s="40">
        <v>126.2</v>
      </c>
      <c r="H179" s="40">
        <v>3.5</v>
      </c>
      <c r="I179" s="40">
        <v>0.5</v>
      </c>
      <c r="J179" s="40">
        <v>18.8</v>
      </c>
      <c r="K179" s="40">
        <v>5.3</v>
      </c>
      <c r="L179" s="40">
        <v>4.8</v>
      </c>
      <c r="M179" s="40">
        <v>0.2</v>
      </c>
      <c r="N179" s="15" t="s">
        <v>55</v>
      </c>
    </row>
    <row r="180" spans="1:14" ht="25.5" customHeight="1">
      <c r="A180" s="162"/>
      <c r="B180" s="17">
        <v>0</v>
      </c>
      <c r="C180" s="42" t="s">
        <v>18</v>
      </c>
      <c r="D180" s="28"/>
      <c r="E180" s="69" t="s">
        <v>427</v>
      </c>
      <c r="F180" s="60">
        <f>1232+1007.1</f>
        <v>2239.1</v>
      </c>
      <c r="G180" s="60">
        <f>294.5+240.7</f>
        <v>535.20000000000005</v>
      </c>
      <c r="H180" s="60">
        <v>7</v>
      </c>
      <c r="I180" s="60">
        <v>0.8</v>
      </c>
      <c r="J180" s="60">
        <f>41.4+51.8</f>
        <v>93.199999999999989</v>
      </c>
      <c r="K180" s="60">
        <f>2.5+3.2</f>
        <v>5.7</v>
      </c>
      <c r="L180" s="60">
        <f>15.3+6.8</f>
        <v>22.1</v>
      </c>
      <c r="M180" s="60">
        <v>0.3</v>
      </c>
      <c r="N180" s="15" t="s">
        <v>55</v>
      </c>
    </row>
    <row r="181" spans="1:14" ht="20.100000000000001" customHeight="1">
      <c r="A181" s="162"/>
      <c r="B181" s="26">
        <v>0</v>
      </c>
      <c r="C181" s="42" t="s">
        <v>373</v>
      </c>
      <c r="D181" s="28"/>
      <c r="E181" s="69" t="s">
        <v>127</v>
      </c>
      <c r="F181" s="40">
        <f>32.4+28.5+40</f>
        <v>100.9</v>
      </c>
      <c r="G181" s="40">
        <f>7.7+6.8+9.6</f>
        <v>24.1</v>
      </c>
      <c r="H181" s="40">
        <v>0.2</v>
      </c>
      <c r="I181" s="40">
        <v>0</v>
      </c>
      <c r="J181" s="40">
        <f>1.8+1.2+1.8</f>
        <v>4.8</v>
      </c>
      <c r="K181" s="40">
        <f>1.6+1+1.8</f>
        <v>4.4000000000000004</v>
      </c>
      <c r="L181" s="40">
        <f>0.2+0.6+0.4</f>
        <v>1.2000000000000002</v>
      </c>
      <c r="M181" s="40">
        <v>0.1</v>
      </c>
      <c r="N181" s="15" t="s">
        <v>55</v>
      </c>
    </row>
    <row r="182" spans="1:14" ht="20.100000000000001" customHeight="1">
      <c r="A182" s="162"/>
      <c r="B182" s="17">
        <v>0</v>
      </c>
      <c r="C182" s="36" t="str">
        <f>$C$10</f>
        <v>Sobremesa</v>
      </c>
      <c r="D182" s="28"/>
      <c r="E182" s="69" t="s">
        <v>26</v>
      </c>
      <c r="F182" s="40">
        <v>319.7</v>
      </c>
      <c r="G182" s="61">
        <v>76.400000000000006</v>
      </c>
      <c r="H182" s="61">
        <v>0.5</v>
      </c>
      <c r="I182" s="61">
        <v>0.2</v>
      </c>
      <c r="J182" s="61">
        <v>16.899999999999999</v>
      </c>
      <c r="K182" s="61">
        <v>16.7</v>
      </c>
      <c r="L182" s="61">
        <v>1.1000000000000001</v>
      </c>
      <c r="M182" s="61">
        <v>0</v>
      </c>
      <c r="N182" s="15" t="s">
        <v>55</v>
      </c>
    </row>
    <row r="183" spans="1:14" ht="20.100000000000001" customHeight="1">
      <c r="A183" s="162"/>
      <c r="B183" s="26">
        <v>0</v>
      </c>
      <c r="C183" s="36" t="str">
        <f>$C$11</f>
        <v>Pão</v>
      </c>
      <c r="D183" s="28"/>
      <c r="E183" s="70" t="s">
        <v>25</v>
      </c>
      <c r="F183" s="163" t="s">
        <v>95</v>
      </c>
      <c r="G183" s="164"/>
      <c r="H183" s="164"/>
      <c r="I183" s="164"/>
      <c r="J183" s="164"/>
      <c r="K183" s="164"/>
      <c r="L183" s="164"/>
      <c r="M183" s="165"/>
      <c r="N183" s="14"/>
    </row>
    <row r="184" spans="1:14" ht="123" customHeight="1">
      <c r="A184" s="166" t="str">
        <f>+A$40</f>
        <v xml:space="preserve">
A sua refeição contém ou pode conter as seguintes substâncias ou produtos e seus derivados: 1Cereais que contêm glúten, 2Crustáceos , 3Ovos, 4Peixes, 5Amendoins, 6Soja, 7Leite, 8Frutos de casca rija, 9Aipo, 10Mostarda, 11Sementes de sésamo, 12Dióxido de enxofre e sulfitos, 13Tremoço, 14Moluscos. 
Para quem não é alérgico ou intolerante, estas substâncias ou produtos são completamente inofensivas. 
Caso necessite informação adicional sobre os produtos em causa deve solicitar aos funcionários.
Declaração nutricional: valores médios de 100 g ou 100 ml, calculados a partir dos valores médios conhecidos dos ingredientes utilizados, segundo o Instituto Nacional de Saúde Dr. Ricardo Jorge, Tabela da Composição de Alimentos (2007), e a informação disponibilizada pelos fornecedores.
Legenda: VE - Valor energético, Líp. - Lípidos, AG Sat. - Ácidos Gordos Saturados, HC - Hidratos de Carbono, Prot. - Proteínas.
</v>
      </c>
      <c r="B184" s="167"/>
      <c r="C184" s="167"/>
      <c r="D184" s="167"/>
      <c r="E184" s="167"/>
      <c r="F184" s="167"/>
      <c r="G184" s="167"/>
      <c r="H184" s="167"/>
      <c r="I184" s="167"/>
      <c r="J184" s="167"/>
      <c r="K184" s="167"/>
      <c r="L184" s="167"/>
      <c r="M184" s="167"/>
      <c r="N184" s="5"/>
    </row>
    <row r="185" spans="1:14" ht="39.950000000000003" customHeight="1">
      <c r="B185" s="26">
        <v>0</v>
      </c>
      <c r="C185" s="63" t="s">
        <v>106</v>
      </c>
      <c r="D185" s="24"/>
      <c r="E185" s="72" t="s">
        <v>379</v>
      </c>
      <c r="F185" s="37"/>
      <c r="G185" s="37"/>
      <c r="H185" s="37"/>
      <c r="I185" s="37"/>
      <c r="J185" s="37"/>
      <c r="K185" s="37"/>
      <c r="L185" s="37"/>
      <c r="M185" s="37"/>
      <c r="N185" s="12"/>
    </row>
    <row r="186" spans="1:14" ht="20.100000000000001" customHeight="1" thickBot="1">
      <c r="B186" s="17">
        <v>0</v>
      </c>
      <c r="E186" s="68"/>
      <c r="F186" s="39" t="s">
        <v>87</v>
      </c>
      <c r="G186" s="39" t="s">
        <v>88</v>
      </c>
      <c r="H186" s="39" t="s">
        <v>89</v>
      </c>
      <c r="I186" s="39" t="s">
        <v>90</v>
      </c>
      <c r="J186" s="39" t="s">
        <v>91</v>
      </c>
      <c r="K186" s="39" t="s">
        <v>476</v>
      </c>
      <c r="L186" s="39" t="s">
        <v>477</v>
      </c>
      <c r="M186" s="39" t="s">
        <v>93</v>
      </c>
      <c r="N186" s="11"/>
    </row>
    <row r="187" spans="1:14" ht="20.100000000000001" customHeight="1" thickTop="1">
      <c r="A187" s="161" t="s">
        <v>16</v>
      </c>
      <c r="B187" s="26">
        <v>0</v>
      </c>
      <c r="C187" s="27" t="s">
        <v>17</v>
      </c>
      <c r="D187" s="28"/>
      <c r="E187" s="69" t="s">
        <v>31</v>
      </c>
      <c r="F187" s="40">
        <v>509.8</v>
      </c>
      <c r="G187" s="40">
        <v>121.9</v>
      </c>
      <c r="H187" s="40">
        <v>3.6</v>
      </c>
      <c r="I187" s="40">
        <v>6.4</v>
      </c>
      <c r="J187" s="40">
        <v>18.100000000000001</v>
      </c>
      <c r="K187" s="40">
        <v>5</v>
      </c>
      <c r="L187" s="40">
        <v>4.5</v>
      </c>
      <c r="M187" s="40">
        <v>0.1</v>
      </c>
      <c r="N187" s="15" t="s">
        <v>55</v>
      </c>
    </row>
    <row r="188" spans="1:14" ht="18">
      <c r="A188" s="162"/>
      <c r="B188" s="17">
        <v>0</v>
      </c>
      <c r="C188" s="42" t="s">
        <v>18</v>
      </c>
      <c r="D188" s="28"/>
      <c r="E188" s="69" t="s">
        <v>405</v>
      </c>
      <c r="F188" s="40">
        <v>2273.1</v>
      </c>
      <c r="G188" s="40">
        <v>543.20000000000005</v>
      </c>
      <c r="H188" s="40">
        <v>4.3</v>
      </c>
      <c r="I188" s="40">
        <v>0.5</v>
      </c>
      <c r="J188" s="40">
        <v>98.7</v>
      </c>
      <c r="K188" s="40">
        <v>8.3000000000000007</v>
      </c>
      <c r="L188" s="40">
        <v>24.9</v>
      </c>
      <c r="M188" s="40">
        <v>0.3</v>
      </c>
      <c r="N188" s="15" t="s">
        <v>55</v>
      </c>
    </row>
    <row r="189" spans="1:14" ht="20.100000000000001" customHeight="1">
      <c r="A189" s="162"/>
      <c r="B189" s="26">
        <v>0</v>
      </c>
      <c r="C189" s="42" t="s">
        <v>373</v>
      </c>
      <c r="D189" s="28"/>
      <c r="E189" s="69" t="s">
        <v>114</v>
      </c>
      <c r="F189" s="40">
        <f>32.4+28.5+40</f>
        <v>100.9</v>
      </c>
      <c r="G189" s="40">
        <f>7.7+6.8+9.6</f>
        <v>24.1</v>
      </c>
      <c r="H189" s="40">
        <v>0.2</v>
      </c>
      <c r="I189" s="40">
        <v>0</v>
      </c>
      <c r="J189" s="40">
        <f>1.8+1.2+1.8</f>
        <v>4.8</v>
      </c>
      <c r="K189" s="40">
        <f>1.6+1+1.8</f>
        <v>4.4000000000000004</v>
      </c>
      <c r="L189" s="40">
        <f>0.2+0.6+0.4</f>
        <v>1.2000000000000002</v>
      </c>
      <c r="M189" s="40">
        <v>0.1</v>
      </c>
      <c r="N189" s="15" t="s">
        <v>55</v>
      </c>
    </row>
    <row r="190" spans="1:14" ht="20.100000000000001" customHeight="1">
      <c r="A190" s="162"/>
      <c r="B190" s="17">
        <v>0</v>
      </c>
      <c r="C190" s="29" t="s">
        <v>19</v>
      </c>
      <c r="D190" s="28"/>
      <c r="E190" s="69" t="s">
        <v>26</v>
      </c>
      <c r="F190" s="40">
        <v>319.7</v>
      </c>
      <c r="G190" s="61">
        <v>76.400000000000006</v>
      </c>
      <c r="H190" s="61">
        <v>0.5</v>
      </c>
      <c r="I190" s="61">
        <v>0.2</v>
      </c>
      <c r="J190" s="61">
        <v>16.899999999999999</v>
      </c>
      <c r="K190" s="61">
        <v>16.7</v>
      </c>
      <c r="L190" s="61">
        <v>1.1000000000000001</v>
      </c>
      <c r="M190" s="61">
        <v>0</v>
      </c>
      <c r="N190" s="15" t="s">
        <v>55</v>
      </c>
    </row>
    <row r="191" spans="1:14" ht="20.100000000000001" customHeight="1">
      <c r="A191" s="162"/>
      <c r="B191" s="26">
        <v>0</v>
      </c>
      <c r="C191" s="29" t="s">
        <v>20</v>
      </c>
      <c r="D191" s="28"/>
      <c r="E191" s="69" t="s">
        <v>25</v>
      </c>
      <c r="F191" s="163" t="s">
        <v>95</v>
      </c>
      <c r="G191" s="164"/>
      <c r="H191" s="164"/>
      <c r="I191" s="164"/>
      <c r="J191" s="164"/>
      <c r="K191" s="164"/>
      <c r="L191" s="164"/>
      <c r="M191" s="165"/>
      <c r="N191" s="14"/>
    </row>
    <row r="192" spans="1:14" ht="20.100000000000001" customHeight="1">
      <c r="A192" s="30"/>
      <c r="B192" s="17">
        <v>0</v>
      </c>
      <c r="C192" s="31"/>
      <c r="D192" s="28"/>
      <c r="E192" s="71"/>
      <c r="F192" s="32"/>
      <c r="G192" s="32"/>
      <c r="H192" s="32"/>
      <c r="I192" s="32"/>
      <c r="J192" s="32"/>
      <c r="K192" s="32"/>
      <c r="L192" s="32"/>
      <c r="M192" s="32"/>
      <c r="N192" s="4"/>
    </row>
    <row r="193" spans="1:14" ht="20.100000000000001" customHeight="1" thickBot="1">
      <c r="A193" s="33"/>
      <c r="B193" s="26">
        <v>0</v>
      </c>
      <c r="C193" s="34"/>
      <c r="D193" s="28"/>
      <c r="E193" s="68"/>
      <c r="F193" s="39" t="s">
        <v>87</v>
      </c>
      <c r="G193" s="39" t="s">
        <v>88</v>
      </c>
      <c r="H193" s="39" t="s">
        <v>89</v>
      </c>
      <c r="I193" s="39" t="s">
        <v>90</v>
      </c>
      <c r="J193" s="39" t="s">
        <v>91</v>
      </c>
      <c r="K193" s="39" t="s">
        <v>476</v>
      </c>
      <c r="L193" s="39" t="s">
        <v>477</v>
      </c>
      <c r="M193" s="39" t="s">
        <v>93</v>
      </c>
      <c r="N193" s="11"/>
    </row>
    <row r="194" spans="1:14" ht="20.100000000000001" customHeight="1" thickTop="1">
      <c r="A194" s="161" t="s">
        <v>21</v>
      </c>
      <c r="B194" s="17">
        <v>0</v>
      </c>
      <c r="C194" s="35" t="str">
        <f>$C$7</f>
        <v>Sopa</v>
      </c>
      <c r="D194" s="28"/>
      <c r="E194" s="69" t="s">
        <v>1</v>
      </c>
      <c r="F194" s="40">
        <v>436.5</v>
      </c>
      <c r="G194" s="40">
        <v>104.3</v>
      </c>
      <c r="H194" s="40">
        <v>3.2</v>
      </c>
      <c r="I194" s="40">
        <v>0.5</v>
      </c>
      <c r="J194" s="40">
        <v>15.8</v>
      </c>
      <c r="K194" s="40">
        <v>4.2</v>
      </c>
      <c r="L194" s="40">
        <v>2.8</v>
      </c>
      <c r="M194" s="40">
        <v>0.2</v>
      </c>
      <c r="N194" s="15" t="s">
        <v>55</v>
      </c>
    </row>
    <row r="195" spans="1:14" ht="35.25" customHeight="1">
      <c r="A195" s="162"/>
      <c r="B195" s="26">
        <v>0</v>
      </c>
      <c r="C195" s="42" t="s">
        <v>18</v>
      </c>
      <c r="D195" s="28"/>
      <c r="E195" s="69" t="s">
        <v>406</v>
      </c>
      <c r="F195" s="40">
        <v>1719.8</v>
      </c>
      <c r="G195" s="40">
        <v>411</v>
      </c>
      <c r="H195" s="40">
        <v>3.9</v>
      </c>
      <c r="I195" s="40">
        <v>0.7</v>
      </c>
      <c r="J195" s="40">
        <v>79.2</v>
      </c>
      <c r="K195" s="40">
        <v>3.9</v>
      </c>
      <c r="L195" s="40">
        <v>12.7</v>
      </c>
      <c r="M195" s="40">
        <v>0.1</v>
      </c>
      <c r="N195" s="15" t="s">
        <v>55</v>
      </c>
    </row>
    <row r="196" spans="1:14" ht="20.100000000000001" customHeight="1">
      <c r="A196" s="162"/>
      <c r="B196" s="17">
        <v>0</v>
      </c>
      <c r="C196" s="42" t="s">
        <v>373</v>
      </c>
      <c r="D196" s="28"/>
      <c r="E196" s="69" t="s">
        <v>131</v>
      </c>
      <c r="F196" s="40">
        <f>20+64.8+163.3</f>
        <v>248.10000000000002</v>
      </c>
      <c r="G196" s="40">
        <f>4.8+15.5+39.2</f>
        <v>59.5</v>
      </c>
      <c r="H196" s="40">
        <v>0.8</v>
      </c>
      <c r="I196" s="40">
        <v>0</v>
      </c>
      <c r="J196" s="40">
        <f>0.3+1.7+7.1</f>
        <v>9.1</v>
      </c>
      <c r="K196" s="40">
        <f>0.3+1.6</f>
        <v>1.9000000000000001</v>
      </c>
      <c r="L196" s="40">
        <f>0.7+1.9+1.5</f>
        <v>4.0999999999999996</v>
      </c>
      <c r="M196" s="40">
        <v>0</v>
      </c>
      <c r="N196" s="15" t="s">
        <v>55</v>
      </c>
    </row>
    <row r="197" spans="1:14" ht="20.100000000000001" customHeight="1">
      <c r="A197" s="162"/>
      <c r="B197" s="26">
        <v>0</v>
      </c>
      <c r="C197" s="36" t="str">
        <f>$C$10</f>
        <v>Sobremesa</v>
      </c>
      <c r="D197" s="28"/>
      <c r="E197" s="69" t="s">
        <v>26</v>
      </c>
      <c r="F197" s="40">
        <v>319.7</v>
      </c>
      <c r="G197" s="61">
        <v>76.400000000000006</v>
      </c>
      <c r="H197" s="61">
        <v>0.5</v>
      </c>
      <c r="I197" s="61">
        <v>0.2</v>
      </c>
      <c r="J197" s="61">
        <v>16.899999999999999</v>
      </c>
      <c r="K197" s="61">
        <v>16.7</v>
      </c>
      <c r="L197" s="61">
        <v>1.1000000000000001</v>
      </c>
      <c r="M197" s="61">
        <v>0</v>
      </c>
      <c r="N197" s="15" t="s">
        <v>55</v>
      </c>
    </row>
    <row r="198" spans="1:14" ht="20.100000000000001" customHeight="1">
      <c r="A198" s="162"/>
      <c r="B198" s="17">
        <v>0</v>
      </c>
      <c r="C198" s="36" t="str">
        <f>$C$11</f>
        <v>Pão</v>
      </c>
      <c r="D198" s="28"/>
      <c r="E198" s="70" t="s">
        <v>25</v>
      </c>
      <c r="F198" s="163" t="s">
        <v>95</v>
      </c>
      <c r="G198" s="164"/>
      <c r="H198" s="164"/>
      <c r="I198" s="164"/>
      <c r="J198" s="164"/>
      <c r="K198" s="164"/>
      <c r="L198" s="164"/>
      <c r="M198" s="165"/>
      <c r="N198" s="14"/>
    </row>
    <row r="199" spans="1:14" ht="20.100000000000001" customHeight="1">
      <c r="A199" s="30"/>
      <c r="B199" s="26">
        <v>0</v>
      </c>
      <c r="C199" s="31"/>
      <c r="D199" s="28"/>
      <c r="E199" s="71"/>
      <c r="F199" s="32"/>
      <c r="G199" s="32"/>
      <c r="H199" s="32"/>
      <c r="I199" s="32"/>
      <c r="J199" s="32"/>
      <c r="K199" s="32"/>
      <c r="L199" s="32"/>
      <c r="M199" s="32"/>
      <c r="N199" s="4"/>
    </row>
    <row r="200" spans="1:14" ht="20.100000000000001" customHeight="1" thickBot="1">
      <c r="A200" s="33"/>
      <c r="B200" s="17">
        <v>0</v>
      </c>
      <c r="C200" s="34"/>
      <c r="D200" s="28"/>
      <c r="E200" s="68"/>
      <c r="F200" s="39" t="s">
        <v>87</v>
      </c>
      <c r="G200" s="39" t="s">
        <v>88</v>
      </c>
      <c r="H200" s="39" t="s">
        <v>89</v>
      </c>
      <c r="I200" s="39" t="s">
        <v>90</v>
      </c>
      <c r="J200" s="39" t="s">
        <v>91</v>
      </c>
      <c r="K200" s="39" t="s">
        <v>476</v>
      </c>
      <c r="L200" s="39" t="s">
        <v>477</v>
      </c>
      <c r="M200" s="39" t="s">
        <v>93</v>
      </c>
      <c r="N200" s="11"/>
    </row>
    <row r="201" spans="1:14" ht="20.100000000000001" customHeight="1" thickTop="1">
      <c r="A201" s="161" t="s">
        <v>22</v>
      </c>
      <c r="B201" s="26">
        <v>0</v>
      </c>
      <c r="C201" s="35" t="str">
        <f>$C$7</f>
        <v>Sopa</v>
      </c>
      <c r="D201" s="28"/>
      <c r="E201" s="78" t="s">
        <v>375</v>
      </c>
      <c r="F201" s="60">
        <v>883.4</v>
      </c>
      <c r="G201" s="40">
        <v>211.1</v>
      </c>
      <c r="H201" s="40">
        <v>3.7</v>
      </c>
      <c r="I201" s="40">
        <v>0.6</v>
      </c>
      <c r="J201" s="40">
        <v>32.200000000000003</v>
      </c>
      <c r="K201" s="40">
        <v>4.9000000000000004</v>
      </c>
      <c r="L201" s="40">
        <v>11.7</v>
      </c>
      <c r="M201" s="40">
        <v>0.2</v>
      </c>
      <c r="N201" s="15" t="s">
        <v>55</v>
      </c>
    </row>
    <row r="202" spans="1:14" ht="42.75" customHeight="1">
      <c r="A202" s="162"/>
      <c r="B202" s="17">
        <v>0</v>
      </c>
      <c r="C202" s="42" t="s">
        <v>18</v>
      </c>
      <c r="D202" s="28"/>
      <c r="E202" s="78" t="s">
        <v>466</v>
      </c>
      <c r="F202" s="40">
        <v>514.6</v>
      </c>
      <c r="G202" s="61">
        <v>122.8</v>
      </c>
      <c r="H202" s="40">
        <v>3.4</v>
      </c>
      <c r="I202" s="61">
        <v>0.5</v>
      </c>
      <c r="J202" s="40">
        <v>14.9</v>
      </c>
      <c r="K202" s="61">
        <v>2.9</v>
      </c>
      <c r="L202" s="40">
        <v>7.2</v>
      </c>
      <c r="M202" s="61">
        <v>0.1</v>
      </c>
      <c r="N202" s="15" t="s">
        <v>55</v>
      </c>
    </row>
    <row r="203" spans="1:14" ht="20.100000000000001" customHeight="1">
      <c r="A203" s="162"/>
      <c r="B203" s="26">
        <v>0</v>
      </c>
      <c r="C203" s="42" t="s">
        <v>373</v>
      </c>
      <c r="D203" s="28"/>
      <c r="E203" s="69" t="s">
        <v>120</v>
      </c>
      <c r="F203" s="40">
        <f>20+163.3+40</f>
        <v>223.3</v>
      </c>
      <c r="G203" s="40">
        <f>4.8+39.2+9.6</f>
        <v>53.6</v>
      </c>
      <c r="H203" s="40">
        <v>0.8</v>
      </c>
      <c r="I203" s="40">
        <v>0</v>
      </c>
      <c r="J203" s="40">
        <f>0.3+7.1+1.8</f>
        <v>9.1999999999999993</v>
      </c>
      <c r="K203" s="40">
        <f>0.3+1.8</f>
        <v>2.1</v>
      </c>
      <c r="L203" s="40">
        <f>0.7+1.5+0.4</f>
        <v>2.6</v>
      </c>
      <c r="M203" s="40">
        <v>0</v>
      </c>
      <c r="N203" s="15" t="s">
        <v>55</v>
      </c>
    </row>
    <row r="204" spans="1:14" ht="20.100000000000001" customHeight="1">
      <c r="A204" s="162"/>
      <c r="B204" s="17">
        <v>0</v>
      </c>
      <c r="C204" s="36" t="str">
        <f>$C$10</f>
        <v>Sobremesa</v>
      </c>
      <c r="D204" s="28"/>
      <c r="E204" s="69" t="s">
        <v>42</v>
      </c>
      <c r="F204" s="40" t="s">
        <v>478</v>
      </c>
      <c r="G204" s="61" t="s">
        <v>479</v>
      </c>
      <c r="H204" s="61" t="s">
        <v>480</v>
      </c>
      <c r="I204" s="61" t="s">
        <v>481</v>
      </c>
      <c r="J204" s="61" t="s">
        <v>482</v>
      </c>
      <c r="K204" s="61" t="s">
        <v>483</v>
      </c>
      <c r="L204" s="61" t="s">
        <v>484</v>
      </c>
      <c r="M204" s="61" t="s">
        <v>485</v>
      </c>
      <c r="N204" s="15" t="s">
        <v>55</v>
      </c>
    </row>
    <row r="205" spans="1:14" ht="20.100000000000001" customHeight="1">
      <c r="A205" s="162"/>
      <c r="B205" s="26">
        <v>0</v>
      </c>
      <c r="C205" s="36" t="str">
        <f>$C$11</f>
        <v>Pão</v>
      </c>
      <c r="D205" s="28"/>
      <c r="E205" s="70" t="s">
        <v>25</v>
      </c>
      <c r="F205" s="163" t="s">
        <v>95</v>
      </c>
      <c r="G205" s="164"/>
      <c r="H205" s="164"/>
      <c r="I205" s="164"/>
      <c r="J205" s="164"/>
      <c r="K205" s="164"/>
      <c r="L205" s="164"/>
      <c r="M205" s="165"/>
      <c r="N205" s="14"/>
    </row>
    <row r="206" spans="1:14" ht="20.100000000000001" customHeight="1">
      <c r="A206" s="30"/>
      <c r="B206" s="17">
        <v>0</v>
      </c>
      <c r="C206" s="31"/>
      <c r="D206" s="28"/>
      <c r="E206" s="71"/>
      <c r="F206" s="32"/>
      <c r="G206" s="32"/>
      <c r="H206" s="32"/>
      <c r="I206" s="32"/>
      <c r="J206" s="32"/>
      <c r="K206" s="32"/>
      <c r="L206" s="32"/>
      <c r="M206" s="32"/>
      <c r="N206" s="4"/>
    </row>
    <row r="207" spans="1:14" ht="20.100000000000001" customHeight="1" thickBot="1">
      <c r="A207" s="33"/>
      <c r="B207" s="26">
        <v>0</v>
      </c>
      <c r="C207" s="34"/>
      <c r="D207" s="28"/>
      <c r="E207" s="68"/>
      <c r="F207" s="39" t="s">
        <v>87</v>
      </c>
      <c r="G207" s="39" t="s">
        <v>88</v>
      </c>
      <c r="H207" s="39" t="s">
        <v>89</v>
      </c>
      <c r="I207" s="39" t="s">
        <v>90</v>
      </c>
      <c r="J207" s="39" t="s">
        <v>91</v>
      </c>
      <c r="K207" s="39" t="s">
        <v>476</v>
      </c>
      <c r="L207" s="39" t="s">
        <v>477</v>
      </c>
      <c r="M207" s="39" t="s">
        <v>93</v>
      </c>
      <c r="N207" s="11"/>
    </row>
    <row r="208" spans="1:14" ht="20.100000000000001" customHeight="1" thickTop="1">
      <c r="A208" s="161" t="s">
        <v>23</v>
      </c>
      <c r="B208" s="17">
        <v>0</v>
      </c>
      <c r="C208" s="35" t="str">
        <f>$C$7</f>
        <v>Sopa</v>
      </c>
      <c r="D208" s="28"/>
      <c r="E208" s="69" t="s">
        <v>34</v>
      </c>
      <c r="F208" s="40">
        <v>514.1</v>
      </c>
      <c r="G208" s="40">
        <v>122.9</v>
      </c>
      <c r="H208" s="40">
        <v>3.4</v>
      </c>
      <c r="I208" s="40">
        <v>0.5</v>
      </c>
      <c r="J208" s="40">
        <v>18.2</v>
      </c>
      <c r="K208" s="40">
        <v>4.7</v>
      </c>
      <c r="L208" s="40">
        <v>4.5999999999999996</v>
      </c>
      <c r="M208" s="40">
        <v>0.2</v>
      </c>
      <c r="N208" s="15" t="s">
        <v>55</v>
      </c>
    </row>
    <row r="209" spans="1:16" ht="34.5" customHeight="1">
      <c r="A209" s="162"/>
      <c r="B209" s="26">
        <v>0</v>
      </c>
      <c r="C209" s="42" t="s">
        <v>18</v>
      </c>
      <c r="D209" s="28"/>
      <c r="E209" s="78" t="s">
        <v>407</v>
      </c>
      <c r="F209" s="40">
        <v>1501.1</v>
      </c>
      <c r="G209" s="40">
        <v>358.7</v>
      </c>
      <c r="H209" s="40">
        <v>5</v>
      </c>
      <c r="I209" s="40">
        <v>0.9</v>
      </c>
      <c r="J209" s="40">
        <v>63.1</v>
      </c>
      <c r="K209" s="40">
        <v>5.6</v>
      </c>
      <c r="L209" s="40">
        <v>13.6</v>
      </c>
      <c r="M209" s="40">
        <v>0.2</v>
      </c>
      <c r="N209" s="15" t="s">
        <v>55</v>
      </c>
    </row>
    <row r="210" spans="1:16" ht="20.100000000000001" customHeight="1">
      <c r="A210" s="162"/>
      <c r="B210" s="17">
        <v>0</v>
      </c>
      <c r="C210" s="42" t="s">
        <v>373</v>
      </c>
      <c r="D210" s="28"/>
      <c r="E210" s="78" t="s">
        <v>132</v>
      </c>
      <c r="F210" s="40">
        <f>20+30+25.6</f>
        <v>75.599999999999994</v>
      </c>
      <c r="G210" s="40">
        <f>4.8+7.2+6.1</f>
        <v>18.100000000000001</v>
      </c>
      <c r="H210" s="40">
        <f>0.1+0.2</f>
        <v>0.30000000000000004</v>
      </c>
      <c r="I210" s="40">
        <v>0.1</v>
      </c>
      <c r="J210" s="40">
        <f>0.3+1.4+0.6</f>
        <v>2.2999999999999998</v>
      </c>
      <c r="K210" s="40">
        <f>0.3+1.4+0.6</f>
        <v>2.2999999999999998</v>
      </c>
      <c r="L210" s="40">
        <f>0.7+0.4+0.5</f>
        <v>1.6</v>
      </c>
      <c r="M210" s="40">
        <v>0.1</v>
      </c>
      <c r="N210" s="15" t="s">
        <v>55</v>
      </c>
    </row>
    <row r="211" spans="1:16" ht="20.100000000000001" customHeight="1">
      <c r="A211" s="162"/>
      <c r="B211" s="26">
        <v>0</v>
      </c>
      <c r="C211" s="36" t="str">
        <f>$C$10</f>
        <v>Sobremesa</v>
      </c>
      <c r="D211" s="28"/>
      <c r="E211" s="78" t="s">
        <v>26</v>
      </c>
      <c r="F211" s="40">
        <v>319.7</v>
      </c>
      <c r="G211" s="61">
        <v>76.400000000000006</v>
      </c>
      <c r="H211" s="61">
        <v>0.5</v>
      </c>
      <c r="I211" s="61">
        <v>0.2</v>
      </c>
      <c r="J211" s="61">
        <v>16.899999999999999</v>
      </c>
      <c r="K211" s="61">
        <v>16.7</v>
      </c>
      <c r="L211" s="61">
        <v>1.1000000000000001</v>
      </c>
      <c r="M211" s="61">
        <v>0</v>
      </c>
      <c r="N211" s="15" t="s">
        <v>55</v>
      </c>
    </row>
    <row r="212" spans="1:16" ht="20.100000000000001" customHeight="1">
      <c r="A212" s="162"/>
      <c r="B212" s="17">
        <v>0</v>
      </c>
      <c r="C212" s="36" t="str">
        <f>$C$11</f>
        <v>Pão</v>
      </c>
      <c r="D212" s="28"/>
      <c r="E212" s="78" t="s">
        <v>25</v>
      </c>
      <c r="F212" s="163" t="s">
        <v>95</v>
      </c>
      <c r="G212" s="164"/>
      <c r="H212" s="164"/>
      <c r="I212" s="164"/>
      <c r="J212" s="164"/>
      <c r="K212" s="164"/>
      <c r="L212" s="164"/>
      <c r="M212" s="165"/>
      <c r="N212" s="14"/>
    </row>
    <row r="213" spans="1:16" ht="20.100000000000001" customHeight="1">
      <c r="A213" s="30"/>
      <c r="B213" s="26">
        <v>0</v>
      </c>
      <c r="C213" s="31"/>
      <c r="D213" s="28"/>
      <c r="E213" s="71"/>
      <c r="F213" s="32"/>
      <c r="G213" s="32"/>
      <c r="H213" s="32"/>
      <c r="I213" s="32"/>
      <c r="J213" s="32"/>
      <c r="K213" s="32"/>
      <c r="L213" s="32"/>
      <c r="M213" s="32"/>
      <c r="N213" s="4"/>
    </row>
    <row r="214" spans="1:16" ht="20.100000000000001" customHeight="1" thickBot="1">
      <c r="A214" s="33"/>
      <c r="B214" s="17">
        <v>0</v>
      </c>
      <c r="C214" s="34"/>
      <c r="D214" s="28"/>
      <c r="E214" s="68"/>
      <c r="F214" s="39" t="s">
        <v>87</v>
      </c>
      <c r="G214" s="39" t="s">
        <v>88</v>
      </c>
      <c r="H214" s="39" t="s">
        <v>89</v>
      </c>
      <c r="I214" s="39" t="s">
        <v>90</v>
      </c>
      <c r="J214" s="39" t="s">
        <v>91</v>
      </c>
      <c r="K214" s="39" t="s">
        <v>476</v>
      </c>
      <c r="L214" s="39" t="s">
        <v>477</v>
      </c>
      <c r="M214" s="39" t="s">
        <v>93</v>
      </c>
      <c r="N214" s="11"/>
    </row>
    <row r="215" spans="1:16" ht="20.100000000000001" customHeight="1" thickTop="1">
      <c r="A215" s="161" t="s">
        <v>24</v>
      </c>
      <c r="B215" s="26">
        <v>0</v>
      </c>
      <c r="C215" s="35" t="str">
        <f>$C$7</f>
        <v>Sopa</v>
      </c>
      <c r="D215" s="28"/>
      <c r="E215" s="69" t="s">
        <v>130</v>
      </c>
      <c r="F215" s="40">
        <v>288.8</v>
      </c>
      <c r="G215" s="40">
        <v>69</v>
      </c>
      <c r="H215" s="40">
        <v>3.4</v>
      </c>
      <c r="I215" s="40">
        <v>0.5</v>
      </c>
      <c r="J215" s="40">
        <v>6.9</v>
      </c>
      <c r="K215" s="40">
        <v>5.8</v>
      </c>
      <c r="L215" s="40">
        <v>3</v>
      </c>
      <c r="M215" s="40">
        <v>0.2</v>
      </c>
      <c r="N215" s="15" t="s">
        <v>55</v>
      </c>
    </row>
    <row r="216" spans="1:16" ht="33" customHeight="1">
      <c r="A216" s="162"/>
      <c r="B216" s="17">
        <v>0</v>
      </c>
      <c r="C216" s="42" t="s">
        <v>18</v>
      </c>
      <c r="D216" s="28"/>
      <c r="E216" s="151" t="s">
        <v>408</v>
      </c>
      <c r="F216" s="60"/>
      <c r="G216" s="60"/>
      <c r="H216" s="60"/>
      <c r="I216" s="60"/>
      <c r="J216" s="60"/>
      <c r="K216" s="60"/>
      <c r="L216" s="60"/>
      <c r="M216" s="60"/>
      <c r="N216" s="80" t="s">
        <v>55</v>
      </c>
      <c r="P216" s="2" t="s">
        <v>726</v>
      </c>
    </row>
    <row r="217" spans="1:16" ht="20.100000000000001" customHeight="1">
      <c r="A217" s="162"/>
      <c r="B217" s="26">
        <v>0</v>
      </c>
      <c r="C217" s="42" t="s">
        <v>373</v>
      </c>
      <c r="D217" s="28"/>
      <c r="E217" s="69" t="s">
        <v>458</v>
      </c>
      <c r="F217" s="40">
        <f>20+29.2+40</f>
        <v>89.2</v>
      </c>
      <c r="G217" s="40">
        <f>4.8+7+9.6</f>
        <v>21.4</v>
      </c>
      <c r="H217" s="40">
        <v>0.4</v>
      </c>
      <c r="I217" s="40">
        <v>0</v>
      </c>
      <c r="J217" s="40">
        <f>0.3+1.2+1.8</f>
        <v>3.3</v>
      </c>
      <c r="K217" s="40">
        <f>0.3+0.9+1.8</f>
        <v>3</v>
      </c>
      <c r="L217" s="40">
        <f>0.7+0.4+0.4</f>
        <v>1.5</v>
      </c>
      <c r="M217" s="40">
        <v>0</v>
      </c>
      <c r="N217" s="15" t="s">
        <v>55</v>
      </c>
    </row>
    <row r="218" spans="1:16" ht="33" customHeight="1">
      <c r="A218" s="162"/>
      <c r="B218" s="17">
        <v>0</v>
      </c>
      <c r="C218" s="36" t="str">
        <f>$C$10</f>
        <v>Sobremesa</v>
      </c>
      <c r="D218" s="28"/>
      <c r="E218" s="69" t="s">
        <v>26</v>
      </c>
      <c r="F218" s="40">
        <v>319.7</v>
      </c>
      <c r="G218" s="61">
        <v>76.400000000000006</v>
      </c>
      <c r="H218" s="61">
        <v>0.5</v>
      </c>
      <c r="I218" s="61">
        <v>0.2</v>
      </c>
      <c r="J218" s="61">
        <v>16.899999999999999</v>
      </c>
      <c r="K218" s="61">
        <v>16.7</v>
      </c>
      <c r="L218" s="61">
        <v>1.1000000000000001</v>
      </c>
      <c r="M218" s="61">
        <v>0</v>
      </c>
      <c r="N218" s="15" t="s">
        <v>55</v>
      </c>
    </row>
    <row r="219" spans="1:16" ht="20.100000000000001" customHeight="1">
      <c r="A219" s="162"/>
      <c r="B219" s="26">
        <v>0</v>
      </c>
      <c r="C219" s="36" t="str">
        <f>$C$11</f>
        <v>Pão</v>
      </c>
      <c r="D219" s="28"/>
      <c r="E219" s="70" t="s">
        <v>25</v>
      </c>
      <c r="F219" s="163" t="s">
        <v>95</v>
      </c>
      <c r="G219" s="164"/>
      <c r="H219" s="164"/>
      <c r="I219" s="164"/>
      <c r="J219" s="164"/>
      <c r="K219" s="164"/>
      <c r="L219" s="164"/>
      <c r="M219" s="165"/>
      <c r="N219" s="14"/>
    </row>
    <row r="220" spans="1:16" ht="123" customHeight="1">
      <c r="A220" s="166" t="str">
        <f>+A$40</f>
        <v xml:space="preserve">
A sua refeição contém ou pode conter as seguintes substâncias ou produtos e seus derivados: 1Cereais que contêm glúten, 2Crustáceos , 3Ovos, 4Peixes, 5Amendoins, 6Soja, 7Leite, 8Frutos de casca rija, 9Aipo, 10Mostarda, 11Sementes de sésamo, 12Dióxido de enxofre e sulfitos, 13Tremoço, 14Moluscos. 
Para quem não é alérgico ou intolerante, estas substâncias ou produtos são completamente inofensivas. 
Caso necessite informação adicional sobre os produtos em causa deve solicitar aos funcionários.
Declaração nutricional: valores médios de 100 g ou 100 ml, calculados a partir dos valores médios conhecidos dos ingredientes utilizados, segundo o Instituto Nacional de Saúde Dr. Ricardo Jorge, Tabela da Composição de Alimentos (2007), e a informação disponibilizada pelos fornecedores.
Legenda: VE - Valor energético, Líp. - Lípidos, AG Sat. - Ácidos Gordos Saturados, HC - Hidratos de Carbono, Prot. - Proteínas.
</v>
      </c>
      <c r="B220" s="167"/>
      <c r="C220" s="167"/>
      <c r="D220" s="167"/>
      <c r="E220" s="167"/>
      <c r="F220" s="167"/>
      <c r="G220" s="167"/>
      <c r="H220" s="167"/>
      <c r="I220" s="167"/>
      <c r="J220" s="167"/>
      <c r="K220" s="167"/>
      <c r="L220" s="167"/>
      <c r="M220" s="167"/>
      <c r="N220" s="5"/>
    </row>
    <row r="221" spans="1:16" ht="39.950000000000003" customHeight="1">
      <c r="B221" s="26">
        <v>0</v>
      </c>
      <c r="C221" s="63" t="s">
        <v>107</v>
      </c>
      <c r="D221" s="24"/>
      <c r="E221" s="72" t="s">
        <v>380</v>
      </c>
      <c r="F221" s="37"/>
      <c r="G221" s="37"/>
      <c r="H221" s="37"/>
      <c r="I221" s="37"/>
      <c r="J221" s="37"/>
      <c r="K221" s="37"/>
      <c r="L221" s="37"/>
      <c r="M221" s="37"/>
      <c r="N221" s="12"/>
    </row>
    <row r="222" spans="1:16" ht="20.100000000000001" customHeight="1" thickBot="1">
      <c r="B222" s="17">
        <v>0</v>
      </c>
      <c r="E222" s="68"/>
      <c r="F222" s="39" t="s">
        <v>87</v>
      </c>
      <c r="G222" s="39" t="s">
        <v>88</v>
      </c>
      <c r="H222" s="39" t="s">
        <v>89</v>
      </c>
      <c r="I222" s="39" t="s">
        <v>90</v>
      </c>
      <c r="J222" s="39" t="s">
        <v>91</v>
      </c>
      <c r="K222" s="39" t="s">
        <v>476</v>
      </c>
      <c r="L222" s="39" t="s">
        <v>477</v>
      </c>
      <c r="M222" s="39" t="s">
        <v>93</v>
      </c>
      <c r="N222" s="11"/>
    </row>
    <row r="223" spans="1:16" ht="20.100000000000001" customHeight="1" thickTop="1">
      <c r="A223" s="161" t="s">
        <v>16</v>
      </c>
      <c r="B223" s="26">
        <v>0</v>
      </c>
      <c r="C223" s="27" t="s">
        <v>17</v>
      </c>
      <c r="D223" s="28"/>
      <c r="E223" s="69" t="s">
        <v>35</v>
      </c>
      <c r="F223" s="62">
        <v>452</v>
      </c>
      <c r="G223" s="62">
        <v>108</v>
      </c>
      <c r="H223" s="62">
        <v>3.3</v>
      </c>
      <c r="I223" s="62">
        <v>0.5</v>
      </c>
      <c r="J223" s="62">
        <v>16.7</v>
      </c>
      <c r="K223" s="62">
        <v>5.3</v>
      </c>
      <c r="L223" s="62">
        <v>2.7</v>
      </c>
      <c r="M223" s="62">
        <v>0.2</v>
      </c>
      <c r="N223" s="15" t="s">
        <v>55</v>
      </c>
    </row>
    <row r="224" spans="1:16" ht="36.75" customHeight="1">
      <c r="A224" s="162"/>
      <c r="B224" s="17">
        <v>0</v>
      </c>
      <c r="C224" s="42" t="s">
        <v>18</v>
      </c>
      <c r="D224" s="28"/>
      <c r="E224" s="69" t="s">
        <v>409</v>
      </c>
      <c r="F224" s="40">
        <f>187.7+1114.1</f>
        <v>1301.8</v>
      </c>
      <c r="G224" s="40">
        <f>44.9+266.3</f>
        <v>311.2</v>
      </c>
      <c r="H224" s="40">
        <f>3.4+3.6</f>
        <v>7</v>
      </c>
      <c r="I224" s="40">
        <f>0.5+0.5</f>
        <v>1</v>
      </c>
      <c r="J224" s="40">
        <f>2.3+51.9</f>
        <v>54.199999999999996</v>
      </c>
      <c r="K224" s="40">
        <f>1.9+0.2</f>
        <v>2.1</v>
      </c>
      <c r="L224" s="40">
        <f>1.4+5.1</f>
        <v>6.5</v>
      </c>
      <c r="M224" s="40">
        <v>0.1</v>
      </c>
      <c r="N224" s="15" t="s">
        <v>55</v>
      </c>
    </row>
    <row r="225" spans="1:14" ht="20.100000000000001" customHeight="1">
      <c r="A225" s="162"/>
      <c r="B225" s="26">
        <v>0</v>
      </c>
      <c r="C225" s="42" t="s">
        <v>373</v>
      </c>
      <c r="D225" s="28"/>
      <c r="E225" s="69" t="s">
        <v>136</v>
      </c>
      <c r="F225" s="40">
        <f>20+32.4+28</f>
        <v>80.400000000000006</v>
      </c>
      <c r="G225" s="40">
        <f>4.8+7.7+6.7</f>
        <v>19.2</v>
      </c>
      <c r="H225" s="40">
        <f>0.1+0.1+0.1</f>
        <v>0.30000000000000004</v>
      </c>
      <c r="I225" s="40">
        <v>0</v>
      </c>
      <c r="J225" s="40">
        <f>0.3+1.8+0.8</f>
        <v>2.9000000000000004</v>
      </c>
      <c r="K225" s="40">
        <f>0.3+1.6+0.8</f>
        <v>2.7</v>
      </c>
      <c r="L225" s="40">
        <f>0.7+0.2+0.6</f>
        <v>1.5</v>
      </c>
      <c r="M225" s="40">
        <v>0.1</v>
      </c>
      <c r="N225" s="15" t="s">
        <v>55</v>
      </c>
    </row>
    <row r="226" spans="1:14" ht="20.100000000000001" customHeight="1">
      <c r="A226" s="162"/>
      <c r="B226" s="17">
        <v>0</v>
      </c>
      <c r="C226" s="29" t="s">
        <v>19</v>
      </c>
      <c r="D226" s="28"/>
      <c r="E226" s="69" t="s">
        <v>26</v>
      </c>
      <c r="F226" s="40">
        <v>319.7</v>
      </c>
      <c r="G226" s="61">
        <v>76.400000000000006</v>
      </c>
      <c r="H226" s="61">
        <v>0.5</v>
      </c>
      <c r="I226" s="61">
        <v>0.2</v>
      </c>
      <c r="J226" s="61">
        <v>16.899999999999999</v>
      </c>
      <c r="K226" s="61">
        <v>16.7</v>
      </c>
      <c r="L226" s="61">
        <v>1.1000000000000001</v>
      </c>
      <c r="M226" s="61">
        <v>0</v>
      </c>
      <c r="N226" s="15" t="s">
        <v>55</v>
      </c>
    </row>
    <row r="227" spans="1:14" ht="20.100000000000001" customHeight="1">
      <c r="A227" s="162"/>
      <c r="B227" s="26">
        <v>0</v>
      </c>
      <c r="C227" s="29" t="s">
        <v>20</v>
      </c>
      <c r="D227" s="28"/>
      <c r="E227" s="69" t="s">
        <v>25</v>
      </c>
      <c r="F227" s="163" t="s">
        <v>95</v>
      </c>
      <c r="G227" s="164"/>
      <c r="H227" s="164"/>
      <c r="I227" s="164"/>
      <c r="J227" s="164"/>
      <c r="K227" s="164"/>
      <c r="L227" s="164"/>
      <c r="M227" s="165"/>
      <c r="N227" s="14"/>
    </row>
    <row r="228" spans="1:14" ht="20.100000000000001" customHeight="1">
      <c r="A228" s="30"/>
      <c r="B228" s="17">
        <v>0</v>
      </c>
      <c r="C228" s="31"/>
      <c r="D228" s="28"/>
      <c r="E228" s="71"/>
      <c r="F228" s="32"/>
      <c r="G228" s="32"/>
      <c r="H228" s="32"/>
      <c r="I228" s="32"/>
      <c r="J228" s="32"/>
      <c r="K228" s="32"/>
      <c r="L228" s="32"/>
      <c r="M228" s="32"/>
      <c r="N228" s="4"/>
    </row>
    <row r="229" spans="1:14" ht="20.100000000000001" customHeight="1" thickBot="1">
      <c r="A229" s="33"/>
      <c r="B229" s="26">
        <v>0</v>
      </c>
      <c r="C229" s="34"/>
      <c r="D229" s="28"/>
      <c r="E229" s="68"/>
      <c r="F229" s="39" t="s">
        <v>87</v>
      </c>
      <c r="G229" s="39" t="s">
        <v>88</v>
      </c>
      <c r="H229" s="39" t="s">
        <v>89</v>
      </c>
      <c r="I229" s="39" t="s">
        <v>90</v>
      </c>
      <c r="J229" s="39" t="s">
        <v>91</v>
      </c>
      <c r="K229" s="39" t="s">
        <v>476</v>
      </c>
      <c r="L229" s="39" t="s">
        <v>477</v>
      </c>
      <c r="M229" s="39" t="s">
        <v>93</v>
      </c>
      <c r="N229" s="11"/>
    </row>
    <row r="230" spans="1:14" ht="31.5" customHeight="1" thickTop="1">
      <c r="A230" s="161" t="s">
        <v>21</v>
      </c>
      <c r="B230" s="17">
        <v>0</v>
      </c>
      <c r="C230" s="35" t="str">
        <f>$C$7</f>
        <v>Sopa</v>
      </c>
      <c r="D230" s="28"/>
      <c r="E230" s="69" t="s">
        <v>36</v>
      </c>
      <c r="F230" s="40">
        <v>582</v>
      </c>
      <c r="G230" s="40">
        <v>139.19999999999999</v>
      </c>
      <c r="H230" s="40">
        <v>3.6</v>
      </c>
      <c r="I230" s="40">
        <v>0.6</v>
      </c>
      <c r="J230" s="40">
        <v>19.899999999999999</v>
      </c>
      <c r="K230" s="40">
        <v>5.3</v>
      </c>
      <c r="L230" s="40">
        <v>6.5</v>
      </c>
      <c r="M230" s="40">
        <v>0.2</v>
      </c>
      <c r="N230" s="15" t="s">
        <v>55</v>
      </c>
    </row>
    <row r="231" spans="1:14" ht="42" customHeight="1">
      <c r="A231" s="162"/>
      <c r="B231" s="26">
        <v>0</v>
      </c>
      <c r="C231" s="42" t="s">
        <v>18</v>
      </c>
      <c r="D231" s="28"/>
      <c r="E231" s="78" t="s">
        <v>410</v>
      </c>
      <c r="F231" s="40">
        <v>2299.8000000000002</v>
      </c>
      <c r="G231" s="40">
        <v>549.6</v>
      </c>
      <c r="H231" s="40">
        <v>4.9000000000000004</v>
      </c>
      <c r="I231" s="40">
        <v>0.9</v>
      </c>
      <c r="J231" s="40">
        <v>99.3</v>
      </c>
      <c r="K231" s="40">
        <v>11.1</v>
      </c>
      <c r="L231" s="40">
        <v>24.7</v>
      </c>
      <c r="M231" s="40">
        <v>0.3</v>
      </c>
      <c r="N231" s="15" t="s">
        <v>55</v>
      </c>
    </row>
    <row r="232" spans="1:14" ht="20.100000000000001" customHeight="1">
      <c r="A232" s="162"/>
      <c r="B232" s="17">
        <v>0</v>
      </c>
      <c r="C232" s="42" t="s">
        <v>373</v>
      </c>
      <c r="D232" s="28"/>
      <c r="E232" s="78" t="s">
        <v>137</v>
      </c>
      <c r="F232" s="60">
        <f>32.4+163.3+40</f>
        <v>235.70000000000002</v>
      </c>
      <c r="G232" s="40">
        <f>7.7+39.2+9.6</f>
        <v>56.500000000000007</v>
      </c>
      <c r="H232" s="40">
        <f>0.5+0.2</f>
        <v>0.7</v>
      </c>
      <c r="I232" s="40">
        <v>0</v>
      </c>
      <c r="J232" s="40">
        <f>1.8+7.1+1.8</f>
        <v>10.700000000000001</v>
      </c>
      <c r="K232" s="40">
        <f>1.6+1.8</f>
        <v>3.4000000000000004</v>
      </c>
      <c r="L232" s="40">
        <f>0.2+1.5+0.4</f>
        <v>2.1</v>
      </c>
      <c r="M232" s="40">
        <v>0.1</v>
      </c>
      <c r="N232" s="15" t="s">
        <v>55</v>
      </c>
    </row>
    <row r="233" spans="1:14" ht="20.100000000000001" customHeight="1">
      <c r="A233" s="162"/>
      <c r="B233" s="26">
        <v>0</v>
      </c>
      <c r="C233" s="36" t="str">
        <f>$C$10</f>
        <v>Sobremesa</v>
      </c>
      <c r="D233" s="28"/>
      <c r="E233" s="78" t="s">
        <v>38</v>
      </c>
      <c r="F233" s="40">
        <v>319.7</v>
      </c>
      <c r="G233" s="61">
        <v>76.400000000000006</v>
      </c>
      <c r="H233" s="61">
        <v>0.5</v>
      </c>
      <c r="I233" s="61">
        <v>0.2</v>
      </c>
      <c r="J233" s="61">
        <v>16.899999999999999</v>
      </c>
      <c r="K233" s="61">
        <v>16.7</v>
      </c>
      <c r="L233" s="61">
        <v>1.1000000000000001</v>
      </c>
      <c r="M233" s="61">
        <v>0</v>
      </c>
      <c r="N233" s="15" t="s">
        <v>55</v>
      </c>
    </row>
    <row r="234" spans="1:14" ht="20.100000000000001" customHeight="1">
      <c r="A234" s="162"/>
      <c r="B234" s="17">
        <v>0</v>
      </c>
      <c r="C234" s="36" t="str">
        <f>$C$11</f>
        <v>Pão</v>
      </c>
      <c r="D234" s="28"/>
      <c r="E234" s="70" t="s">
        <v>25</v>
      </c>
      <c r="F234" s="163" t="s">
        <v>95</v>
      </c>
      <c r="G234" s="164"/>
      <c r="H234" s="164"/>
      <c r="I234" s="164"/>
      <c r="J234" s="164"/>
      <c r="K234" s="164"/>
      <c r="L234" s="164"/>
      <c r="M234" s="165"/>
      <c r="N234" s="14"/>
    </row>
    <row r="235" spans="1:14" ht="20.100000000000001" customHeight="1">
      <c r="A235" s="30"/>
      <c r="B235" s="26">
        <v>0</v>
      </c>
      <c r="C235" s="31"/>
      <c r="D235" s="28"/>
      <c r="F235" s="32"/>
      <c r="G235" s="32"/>
      <c r="H235" s="32"/>
      <c r="I235" s="32"/>
      <c r="J235" s="32"/>
      <c r="K235" s="32"/>
      <c r="L235" s="32"/>
      <c r="M235" s="32"/>
      <c r="N235" s="4"/>
    </row>
    <row r="236" spans="1:14" ht="20.100000000000001" customHeight="1" thickBot="1">
      <c r="A236" s="33"/>
      <c r="B236" s="17">
        <v>0</v>
      </c>
      <c r="C236" s="34"/>
      <c r="D236" s="28"/>
      <c r="E236" s="68"/>
      <c r="F236" s="39" t="s">
        <v>87</v>
      </c>
      <c r="G236" s="39" t="s">
        <v>88</v>
      </c>
      <c r="H236" s="39" t="s">
        <v>89</v>
      </c>
      <c r="I236" s="39" t="s">
        <v>90</v>
      </c>
      <c r="J236" s="39" t="s">
        <v>91</v>
      </c>
      <c r="K236" s="39" t="s">
        <v>476</v>
      </c>
      <c r="L236" s="39" t="s">
        <v>477</v>
      </c>
      <c r="M236" s="39" t="s">
        <v>93</v>
      </c>
      <c r="N236" s="11"/>
    </row>
    <row r="237" spans="1:14" ht="20.100000000000001" customHeight="1" thickTop="1">
      <c r="A237" s="161" t="s">
        <v>22</v>
      </c>
      <c r="B237" s="26">
        <v>0</v>
      </c>
      <c r="C237" s="35" t="str">
        <f>$C$7</f>
        <v>Sopa</v>
      </c>
      <c r="D237" s="28"/>
      <c r="E237" s="78" t="s">
        <v>134</v>
      </c>
      <c r="F237" s="40">
        <v>260.60000000000002</v>
      </c>
      <c r="G237" s="40">
        <v>62.3</v>
      </c>
      <c r="H237" s="40">
        <v>3.5</v>
      </c>
      <c r="I237" s="40">
        <v>0.6</v>
      </c>
      <c r="J237" s="40">
        <v>6.1</v>
      </c>
      <c r="K237" s="40">
        <v>5.3</v>
      </c>
      <c r="L237" s="40">
        <v>2</v>
      </c>
      <c r="M237" s="40">
        <v>0.2</v>
      </c>
      <c r="N237" s="15" t="s">
        <v>55</v>
      </c>
    </row>
    <row r="238" spans="1:14" ht="36" customHeight="1">
      <c r="A238" s="162"/>
      <c r="B238" s="17">
        <v>0</v>
      </c>
      <c r="C238" s="42" t="s">
        <v>18</v>
      </c>
      <c r="D238" s="28"/>
      <c r="E238" s="78" t="s">
        <v>411</v>
      </c>
      <c r="F238" s="40">
        <v>548.5</v>
      </c>
      <c r="G238" s="40">
        <v>131.1</v>
      </c>
      <c r="H238" s="40">
        <v>3.8</v>
      </c>
      <c r="I238" s="40">
        <v>0.6</v>
      </c>
      <c r="J238" s="40">
        <v>13.8</v>
      </c>
      <c r="K238" s="40">
        <v>6.6</v>
      </c>
      <c r="L238" s="40">
        <v>10.4</v>
      </c>
      <c r="M238" s="40">
        <v>0.2</v>
      </c>
      <c r="N238" s="15" t="s">
        <v>55</v>
      </c>
    </row>
    <row r="239" spans="1:14" ht="20.100000000000001" customHeight="1">
      <c r="A239" s="162"/>
      <c r="B239" s="26">
        <v>0</v>
      </c>
      <c r="C239" s="42" t="s">
        <v>373</v>
      </c>
      <c r="D239" s="28"/>
      <c r="E239" s="78" t="s">
        <v>132</v>
      </c>
      <c r="F239" s="40">
        <f>20+30+25.6</f>
        <v>75.599999999999994</v>
      </c>
      <c r="G239" s="40">
        <f>4.8+7.2+6.1</f>
        <v>18.100000000000001</v>
      </c>
      <c r="H239" s="40">
        <f>0.1+0.2</f>
        <v>0.30000000000000004</v>
      </c>
      <c r="I239" s="40">
        <v>0.1</v>
      </c>
      <c r="J239" s="40">
        <f>0.3+1.4+0.6</f>
        <v>2.2999999999999998</v>
      </c>
      <c r="K239" s="40">
        <f>0.3+1.4+0.6</f>
        <v>2.2999999999999998</v>
      </c>
      <c r="L239" s="40">
        <f>0.7+0.4+0.5</f>
        <v>1.6</v>
      </c>
      <c r="M239" s="40">
        <v>0.1</v>
      </c>
      <c r="N239" s="15" t="s">
        <v>55</v>
      </c>
    </row>
    <row r="240" spans="1:14" ht="20.100000000000001" customHeight="1">
      <c r="A240" s="162"/>
      <c r="B240" s="17">
        <v>0</v>
      </c>
      <c r="C240" s="36" t="str">
        <f>$C$10</f>
        <v>Sobremesa</v>
      </c>
      <c r="D240" s="28"/>
      <c r="E240" s="78" t="s">
        <v>26</v>
      </c>
      <c r="F240" s="40">
        <v>319.7</v>
      </c>
      <c r="G240" s="61">
        <v>76.400000000000006</v>
      </c>
      <c r="H240" s="61">
        <v>0.5</v>
      </c>
      <c r="I240" s="61">
        <v>0.2</v>
      </c>
      <c r="J240" s="61">
        <v>16.899999999999999</v>
      </c>
      <c r="K240" s="61">
        <v>16.7</v>
      </c>
      <c r="L240" s="61">
        <v>1.1000000000000001</v>
      </c>
      <c r="M240" s="61">
        <v>0</v>
      </c>
      <c r="N240" s="15" t="s">
        <v>55</v>
      </c>
    </row>
    <row r="241" spans="1:14" ht="20.100000000000001" customHeight="1">
      <c r="A241" s="162"/>
      <c r="B241" s="26">
        <v>0</v>
      </c>
      <c r="C241" s="36" t="str">
        <f>$C$11</f>
        <v>Pão</v>
      </c>
      <c r="D241" s="28"/>
      <c r="E241" s="78" t="s">
        <v>25</v>
      </c>
      <c r="F241" s="163" t="s">
        <v>95</v>
      </c>
      <c r="G241" s="164"/>
      <c r="H241" s="164"/>
      <c r="I241" s="164"/>
      <c r="J241" s="164"/>
      <c r="K241" s="164"/>
      <c r="L241" s="164"/>
      <c r="M241" s="165"/>
      <c r="N241" s="14"/>
    </row>
    <row r="242" spans="1:14" ht="20.100000000000001" customHeight="1">
      <c r="A242" s="30"/>
      <c r="B242" s="17">
        <v>0</v>
      </c>
      <c r="C242" s="31"/>
      <c r="D242" s="28"/>
      <c r="E242" s="71"/>
      <c r="F242" s="32"/>
      <c r="G242" s="32"/>
      <c r="H242" s="32"/>
      <c r="I242" s="32"/>
      <c r="J242" s="32"/>
      <c r="K242" s="32"/>
      <c r="L242" s="32"/>
      <c r="M242" s="32"/>
      <c r="N242" s="4"/>
    </row>
    <row r="243" spans="1:14" ht="20.100000000000001" customHeight="1" thickBot="1">
      <c r="A243" s="33"/>
      <c r="B243" s="26">
        <v>0</v>
      </c>
      <c r="C243" s="34"/>
      <c r="D243" s="28"/>
      <c r="E243" s="68"/>
      <c r="F243" s="39" t="s">
        <v>87</v>
      </c>
      <c r="G243" s="39" t="s">
        <v>88</v>
      </c>
      <c r="H243" s="39" t="s">
        <v>89</v>
      </c>
      <c r="I243" s="39" t="s">
        <v>90</v>
      </c>
      <c r="J243" s="39" t="s">
        <v>91</v>
      </c>
      <c r="K243" s="39" t="s">
        <v>476</v>
      </c>
      <c r="L243" s="39" t="s">
        <v>477</v>
      </c>
      <c r="M243" s="39" t="s">
        <v>93</v>
      </c>
      <c r="N243" s="11"/>
    </row>
    <row r="244" spans="1:14" ht="20.100000000000001" customHeight="1" thickTop="1">
      <c r="A244" s="161" t="s">
        <v>23</v>
      </c>
      <c r="B244" s="17">
        <v>0</v>
      </c>
      <c r="C244" s="35" t="str">
        <f>$C$7</f>
        <v>Sopa</v>
      </c>
      <c r="D244" s="28"/>
      <c r="E244" s="78" t="s">
        <v>135</v>
      </c>
      <c r="F244" s="60">
        <v>415.3</v>
      </c>
      <c r="G244" s="60">
        <v>99.3</v>
      </c>
      <c r="H244" s="60">
        <v>3.4</v>
      </c>
      <c r="I244" s="60">
        <v>0.5</v>
      </c>
      <c r="J244" s="60">
        <v>13.9</v>
      </c>
      <c r="K244" s="60">
        <v>2.8</v>
      </c>
      <c r="L244" s="60">
        <v>2.9</v>
      </c>
      <c r="M244" s="60">
        <v>0.3</v>
      </c>
      <c r="N244" s="15" t="s">
        <v>55</v>
      </c>
    </row>
    <row r="245" spans="1:14" ht="24.75" customHeight="1">
      <c r="A245" s="162"/>
      <c r="B245" s="26">
        <v>0</v>
      </c>
      <c r="C245" s="42" t="s">
        <v>18</v>
      </c>
      <c r="D245" s="28"/>
      <c r="E245" s="78" t="s">
        <v>412</v>
      </c>
      <c r="F245" s="40">
        <v>1436.2</v>
      </c>
      <c r="G245" s="40">
        <v>343.1</v>
      </c>
      <c r="H245" s="40">
        <v>4.8</v>
      </c>
      <c r="I245" s="40">
        <v>3.6</v>
      </c>
      <c r="J245" s="40">
        <v>60.9</v>
      </c>
      <c r="K245" s="40">
        <v>5.6</v>
      </c>
      <c r="L245" s="40">
        <v>11.9</v>
      </c>
      <c r="M245" s="40">
        <v>0.1</v>
      </c>
      <c r="N245" s="80" t="s">
        <v>55</v>
      </c>
    </row>
    <row r="246" spans="1:14" ht="20.100000000000001" customHeight="1">
      <c r="A246" s="162"/>
      <c r="B246" s="17">
        <v>0</v>
      </c>
      <c r="C246" s="42" t="s">
        <v>373</v>
      </c>
      <c r="D246" s="28"/>
      <c r="E246" s="78" t="s">
        <v>138</v>
      </c>
      <c r="F246" s="60">
        <f>20+32.4+28.5</f>
        <v>80.900000000000006</v>
      </c>
      <c r="G246" s="40">
        <f>4.8+7.7+6.8</f>
        <v>19.3</v>
      </c>
      <c r="H246" s="40">
        <v>0.2</v>
      </c>
      <c r="I246" s="40">
        <v>0</v>
      </c>
      <c r="J246" s="40">
        <f>0.3+1.8+1.2</f>
        <v>3.3</v>
      </c>
      <c r="K246" s="40">
        <f>0.3+1.6+1</f>
        <v>2.9000000000000004</v>
      </c>
      <c r="L246" s="40">
        <f>0.7+0.2+0.6</f>
        <v>1.5</v>
      </c>
      <c r="M246" s="40">
        <v>0.1</v>
      </c>
      <c r="N246" s="15" t="s">
        <v>55</v>
      </c>
    </row>
    <row r="247" spans="1:14" ht="20.100000000000001" customHeight="1">
      <c r="A247" s="162"/>
      <c r="B247" s="26">
        <v>0</v>
      </c>
      <c r="C247" s="36" t="str">
        <f>$C$10</f>
        <v>Sobremesa</v>
      </c>
      <c r="D247" s="28"/>
      <c r="E247" s="69" t="s">
        <v>51</v>
      </c>
      <c r="F247" s="40" t="s">
        <v>478</v>
      </c>
      <c r="G247" s="61" t="s">
        <v>479</v>
      </c>
      <c r="H247" s="61" t="s">
        <v>480</v>
      </c>
      <c r="I247" s="61" t="s">
        <v>481</v>
      </c>
      <c r="J247" s="61" t="s">
        <v>482</v>
      </c>
      <c r="K247" s="61" t="s">
        <v>483</v>
      </c>
      <c r="L247" s="61" t="s">
        <v>484</v>
      </c>
      <c r="M247" s="61" t="s">
        <v>485</v>
      </c>
      <c r="N247" s="15" t="s">
        <v>55</v>
      </c>
    </row>
    <row r="248" spans="1:14" ht="20.100000000000001" customHeight="1">
      <c r="A248" s="162"/>
      <c r="B248" s="17">
        <v>0</v>
      </c>
      <c r="C248" s="36" t="str">
        <f>$C$11</f>
        <v>Pão</v>
      </c>
      <c r="D248" s="28"/>
      <c r="E248" s="70" t="s">
        <v>25</v>
      </c>
      <c r="F248" s="163" t="s">
        <v>95</v>
      </c>
      <c r="G248" s="164"/>
      <c r="H248" s="164"/>
      <c r="I248" s="164"/>
      <c r="J248" s="164"/>
      <c r="K248" s="164"/>
      <c r="L248" s="164"/>
      <c r="M248" s="165"/>
      <c r="N248" s="14"/>
    </row>
    <row r="249" spans="1:14" ht="20.100000000000001" customHeight="1">
      <c r="A249" s="30"/>
      <c r="B249" s="26">
        <v>0</v>
      </c>
      <c r="C249" s="31"/>
      <c r="D249" s="28"/>
      <c r="E249" s="71"/>
      <c r="F249" s="32"/>
      <c r="G249" s="32"/>
      <c r="H249" s="32"/>
      <c r="I249" s="32"/>
      <c r="J249" s="32"/>
      <c r="K249" s="32"/>
      <c r="L249" s="32"/>
      <c r="M249" s="32"/>
      <c r="N249" s="4"/>
    </row>
    <row r="250" spans="1:14" ht="20.100000000000001" customHeight="1" thickBot="1">
      <c r="A250" s="33"/>
      <c r="B250" s="17">
        <v>0</v>
      </c>
      <c r="C250" s="34"/>
      <c r="D250" s="28"/>
      <c r="E250" s="68"/>
      <c r="F250" s="39" t="s">
        <v>87</v>
      </c>
      <c r="G250" s="39" t="s">
        <v>88</v>
      </c>
      <c r="H250" s="39" t="s">
        <v>89</v>
      </c>
      <c r="I250" s="39" t="s">
        <v>90</v>
      </c>
      <c r="J250" s="39" t="s">
        <v>91</v>
      </c>
      <c r="K250" s="39" t="s">
        <v>476</v>
      </c>
      <c r="L250" s="39" t="s">
        <v>477</v>
      </c>
      <c r="M250" s="39" t="s">
        <v>93</v>
      </c>
      <c r="N250" s="11"/>
    </row>
    <row r="251" spans="1:14" ht="20.100000000000001" customHeight="1" thickTop="1">
      <c r="A251" s="161" t="s">
        <v>24</v>
      </c>
      <c r="B251" s="26">
        <v>0</v>
      </c>
      <c r="C251" s="35" t="str">
        <f>$C$7</f>
        <v>Sopa</v>
      </c>
      <c r="D251" s="28"/>
      <c r="E251" s="78" t="s">
        <v>133</v>
      </c>
      <c r="F251" s="60">
        <v>430.2</v>
      </c>
      <c r="G251" s="60">
        <v>102.8</v>
      </c>
      <c r="H251" s="60">
        <v>3.4</v>
      </c>
      <c r="I251" s="60">
        <v>0.6</v>
      </c>
      <c r="J251" s="60">
        <v>14.4</v>
      </c>
      <c r="K251" s="60">
        <v>3.3</v>
      </c>
      <c r="L251" s="60">
        <v>3.4</v>
      </c>
      <c r="M251" s="60">
        <v>0.2</v>
      </c>
      <c r="N251" s="15" t="s">
        <v>55</v>
      </c>
    </row>
    <row r="252" spans="1:14" ht="44.25" customHeight="1">
      <c r="A252" s="162"/>
      <c r="B252" s="17">
        <v>0</v>
      </c>
      <c r="C252" s="42" t="s">
        <v>18</v>
      </c>
      <c r="D252" s="28"/>
      <c r="E252" s="78" t="s">
        <v>413</v>
      </c>
      <c r="F252" s="40">
        <v>1355.1</v>
      </c>
      <c r="G252" s="40">
        <v>323.89999999999998</v>
      </c>
      <c r="H252" s="40">
        <v>7.4</v>
      </c>
      <c r="I252" s="40">
        <v>0.9</v>
      </c>
      <c r="J252" s="40">
        <v>46.8</v>
      </c>
      <c r="K252" s="40">
        <v>7.6</v>
      </c>
      <c r="L252" s="40">
        <v>16.8</v>
      </c>
      <c r="M252" s="40">
        <v>0.2</v>
      </c>
      <c r="N252" s="15" t="s">
        <v>55</v>
      </c>
    </row>
    <row r="253" spans="1:14" ht="20.100000000000001" customHeight="1">
      <c r="A253" s="162"/>
      <c r="B253" s="26">
        <v>0</v>
      </c>
      <c r="C253" s="42" t="s">
        <v>373</v>
      </c>
      <c r="D253" s="28"/>
      <c r="E253" s="78" t="s">
        <v>139</v>
      </c>
      <c r="F253" s="60">
        <f>70.4+163.3+40</f>
        <v>273.70000000000005</v>
      </c>
      <c r="G253" s="40">
        <f>16.8+39.2+9.6</f>
        <v>65.599999999999994</v>
      </c>
      <c r="H253" s="40">
        <f>0.6+0.5+0.2</f>
        <v>1.3</v>
      </c>
      <c r="I253" s="40">
        <v>0.1</v>
      </c>
      <c r="J253" s="40">
        <f>1.6+7.1+1.8</f>
        <v>10.5</v>
      </c>
      <c r="K253" s="40">
        <f>1.2+1.8</f>
        <v>3</v>
      </c>
      <c r="L253" s="40">
        <f>1.4+1.5+4</f>
        <v>6.9</v>
      </c>
      <c r="M253" s="40">
        <v>0</v>
      </c>
      <c r="N253" s="15" t="s">
        <v>55</v>
      </c>
    </row>
    <row r="254" spans="1:14" ht="25.5" customHeight="1">
      <c r="A254" s="162"/>
      <c r="B254" s="17">
        <v>0</v>
      </c>
      <c r="C254" s="36" t="str">
        <f>$C$10</f>
        <v>Sobremesa</v>
      </c>
      <c r="D254" s="28"/>
      <c r="E254" s="78" t="s">
        <v>26</v>
      </c>
      <c r="F254" s="40">
        <v>319.7</v>
      </c>
      <c r="G254" s="61">
        <v>76.400000000000006</v>
      </c>
      <c r="H254" s="61">
        <v>0.5</v>
      </c>
      <c r="I254" s="61">
        <v>0.2</v>
      </c>
      <c r="J254" s="61">
        <v>16.899999999999999</v>
      </c>
      <c r="K254" s="61">
        <v>16.7</v>
      </c>
      <c r="L254" s="61">
        <v>1.1000000000000001</v>
      </c>
      <c r="M254" s="61">
        <v>0</v>
      </c>
      <c r="N254" s="15" t="s">
        <v>55</v>
      </c>
    </row>
    <row r="255" spans="1:14" ht="20.100000000000001" customHeight="1">
      <c r="A255" s="162"/>
      <c r="B255" s="26">
        <v>0</v>
      </c>
      <c r="C255" s="36" t="str">
        <f>$C$11</f>
        <v>Pão</v>
      </c>
      <c r="D255" s="28"/>
      <c r="E255" s="70" t="s">
        <v>25</v>
      </c>
      <c r="F255" s="163" t="s">
        <v>95</v>
      </c>
      <c r="G255" s="164"/>
      <c r="H255" s="164"/>
      <c r="I255" s="164"/>
      <c r="J255" s="164"/>
      <c r="K255" s="164"/>
      <c r="L255" s="164"/>
      <c r="M255" s="165"/>
      <c r="N255" s="14"/>
    </row>
    <row r="256" spans="1:14" ht="123" customHeight="1">
      <c r="A256" s="166" t="str">
        <f>+A$40</f>
        <v xml:space="preserve">
A sua refeição contém ou pode conter as seguintes substâncias ou produtos e seus derivados: 1Cereais que contêm glúten, 2Crustáceos , 3Ovos, 4Peixes, 5Amendoins, 6Soja, 7Leite, 8Frutos de casca rija, 9Aipo, 10Mostarda, 11Sementes de sésamo, 12Dióxido de enxofre e sulfitos, 13Tremoço, 14Moluscos. 
Para quem não é alérgico ou intolerante, estas substâncias ou produtos são completamente inofensivas. 
Caso necessite informação adicional sobre os produtos em causa deve solicitar aos funcionários.
Declaração nutricional: valores médios de 100 g ou 100 ml, calculados a partir dos valores médios conhecidos dos ingredientes utilizados, segundo o Instituto Nacional de Saúde Dr. Ricardo Jorge, Tabela da Composição de Alimentos (2007), e a informação disponibilizada pelos fornecedores.
Legenda: VE - Valor energético, Líp. - Lípidos, AG Sat. - Ácidos Gordos Saturados, HC - Hidratos de Carbono, Prot. - Proteínas.
</v>
      </c>
      <c r="B256" s="167"/>
      <c r="C256" s="167"/>
      <c r="D256" s="167"/>
      <c r="E256" s="167"/>
      <c r="F256" s="167"/>
      <c r="G256" s="167"/>
      <c r="H256" s="167"/>
      <c r="I256" s="167"/>
      <c r="J256" s="167"/>
      <c r="K256" s="167"/>
      <c r="L256" s="167"/>
      <c r="M256" s="167"/>
      <c r="N256" s="5"/>
    </row>
    <row r="257" spans="1:14" ht="39.950000000000003" customHeight="1">
      <c r="B257" s="17">
        <v>0</v>
      </c>
      <c r="C257" s="63" t="s">
        <v>108</v>
      </c>
      <c r="D257" s="24"/>
      <c r="E257" s="72" t="s">
        <v>381</v>
      </c>
      <c r="F257" s="37"/>
      <c r="G257" s="37"/>
      <c r="H257" s="37"/>
      <c r="I257" s="37"/>
      <c r="J257" s="37"/>
      <c r="K257" s="37"/>
      <c r="L257" s="37"/>
      <c r="M257" s="37"/>
      <c r="N257" s="12"/>
    </row>
    <row r="258" spans="1:14" ht="20.100000000000001" customHeight="1" thickBot="1">
      <c r="B258" s="26">
        <v>0</v>
      </c>
      <c r="E258" s="68"/>
      <c r="F258" s="39" t="s">
        <v>87</v>
      </c>
      <c r="G258" s="39" t="s">
        <v>88</v>
      </c>
      <c r="H258" s="39" t="s">
        <v>89</v>
      </c>
      <c r="I258" s="39" t="s">
        <v>90</v>
      </c>
      <c r="J258" s="39" t="s">
        <v>91</v>
      </c>
      <c r="K258" s="39" t="s">
        <v>476</v>
      </c>
      <c r="L258" s="39" t="s">
        <v>477</v>
      </c>
      <c r="M258" s="39" t="s">
        <v>93</v>
      </c>
      <c r="N258" s="11"/>
    </row>
    <row r="259" spans="1:14" ht="20.100000000000001" customHeight="1" thickTop="1">
      <c r="A259" s="161" t="s">
        <v>16</v>
      </c>
      <c r="B259" s="17">
        <v>0</v>
      </c>
      <c r="C259" s="27" t="s">
        <v>17</v>
      </c>
      <c r="D259" s="28"/>
      <c r="E259" s="69" t="s">
        <v>141</v>
      </c>
      <c r="F259" s="60">
        <v>263.10000000000002</v>
      </c>
      <c r="G259" s="60">
        <v>62.9</v>
      </c>
      <c r="H259" s="60">
        <v>3.4</v>
      </c>
      <c r="I259" s="60">
        <v>0.5</v>
      </c>
      <c r="J259" s="60">
        <v>5.4</v>
      </c>
      <c r="K259" s="60">
        <v>4.7</v>
      </c>
      <c r="L259" s="60">
        <v>2.9</v>
      </c>
      <c r="M259" s="60">
        <v>0.2</v>
      </c>
      <c r="N259" s="15" t="s">
        <v>55</v>
      </c>
    </row>
    <row r="260" spans="1:14" ht="45.75" customHeight="1">
      <c r="A260" s="162"/>
      <c r="B260" s="26">
        <v>0</v>
      </c>
      <c r="C260" s="42" t="s">
        <v>18</v>
      </c>
      <c r="D260" s="28"/>
      <c r="E260" s="69" t="s">
        <v>414</v>
      </c>
      <c r="F260" s="40">
        <f>971.8+246.9</f>
        <v>1218.7</v>
      </c>
      <c r="G260" s="40">
        <f>232.6+246.9</f>
        <v>479.5</v>
      </c>
      <c r="H260" s="40">
        <f>4.2+3.4</f>
        <v>7.6</v>
      </c>
      <c r="I260" s="40">
        <f>0.6+0.5</f>
        <v>1.1000000000000001</v>
      </c>
      <c r="J260" s="40">
        <f>33.9+48.4</f>
        <v>82.3</v>
      </c>
      <c r="K260" s="40">
        <f>4.2+1.4</f>
        <v>5.6</v>
      </c>
      <c r="L260" s="40">
        <f>14.1+4.4</f>
        <v>18.5</v>
      </c>
      <c r="M260" s="40">
        <v>0.3</v>
      </c>
      <c r="N260" s="15" t="s">
        <v>55</v>
      </c>
    </row>
    <row r="261" spans="1:14" ht="20.100000000000001" customHeight="1">
      <c r="A261" s="162"/>
      <c r="B261" s="17">
        <v>0</v>
      </c>
      <c r="C261" s="42" t="s">
        <v>373</v>
      </c>
      <c r="D261" s="28"/>
      <c r="E261" s="69" t="s">
        <v>144</v>
      </c>
      <c r="F261" s="60">
        <f>28.5+23+40</f>
        <v>91.5</v>
      </c>
      <c r="G261" s="40">
        <f>6.8+5.5+9.6</f>
        <v>21.9</v>
      </c>
      <c r="H261" s="40">
        <v>0.4</v>
      </c>
      <c r="I261" s="40">
        <v>0</v>
      </c>
      <c r="J261" s="40">
        <f>1.2+0.7+1.8</f>
        <v>3.7</v>
      </c>
      <c r="K261" s="40">
        <f>1+0.6+1.8</f>
        <v>3.4000000000000004</v>
      </c>
      <c r="L261" s="40">
        <f>0.6+0.4+0.4</f>
        <v>1.4</v>
      </c>
      <c r="M261" s="40">
        <v>0</v>
      </c>
      <c r="N261" s="15" t="s">
        <v>55</v>
      </c>
    </row>
    <row r="262" spans="1:14" ht="20.100000000000001" customHeight="1">
      <c r="A262" s="162"/>
      <c r="B262" s="26">
        <v>0</v>
      </c>
      <c r="C262" s="29" t="s">
        <v>19</v>
      </c>
      <c r="D262" s="28"/>
      <c r="E262" s="69" t="s">
        <v>42</v>
      </c>
      <c r="F262" s="40" t="s">
        <v>478</v>
      </c>
      <c r="G262" s="61" t="s">
        <v>479</v>
      </c>
      <c r="H262" s="61" t="s">
        <v>480</v>
      </c>
      <c r="I262" s="61" t="s">
        <v>481</v>
      </c>
      <c r="J262" s="61" t="s">
        <v>482</v>
      </c>
      <c r="K262" s="61" t="s">
        <v>483</v>
      </c>
      <c r="L262" s="61" t="s">
        <v>484</v>
      </c>
      <c r="M262" s="61" t="s">
        <v>485</v>
      </c>
      <c r="N262" s="15" t="s">
        <v>55</v>
      </c>
    </row>
    <row r="263" spans="1:14" ht="20.100000000000001" customHeight="1">
      <c r="A263" s="162"/>
      <c r="B263" s="17">
        <v>0</v>
      </c>
      <c r="C263" s="29" t="s">
        <v>20</v>
      </c>
      <c r="D263" s="28"/>
      <c r="E263" s="70" t="s">
        <v>25</v>
      </c>
      <c r="F263" s="163" t="s">
        <v>95</v>
      </c>
      <c r="G263" s="164"/>
      <c r="H263" s="164"/>
      <c r="I263" s="164"/>
      <c r="J263" s="164"/>
      <c r="K263" s="164"/>
      <c r="L263" s="164"/>
      <c r="M263" s="165"/>
      <c r="N263" s="14"/>
    </row>
    <row r="264" spans="1:14" ht="20.100000000000001" customHeight="1">
      <c r="A264" s="30"/>
      <c r="B264" s="26">
        <v>0</v>
      </c>
      <c r="C264" s="31"/>
      <c r="D264" s="28"/>
      <c r="E264" s="71"/>
      <c r="F264" s="32"/>
      <c r="G264" s="32"/>
      <c r="H264" s="32"/>
      <c r="I264" s="32"/>
      <c r="J264" s="32"/>
      <c r="K264" s="32"/>
      <c r="L264" s="32"/>
      <c r="M264" s="32"/>
      <c r="N264" s="4"/>
    </row>
    <row r="265" spans="1:14" ht="20.100000000000001" customHeight="1" thickBot="1">
      <c r="A265" s="33"/>
      <c r="B265" s="17">
        <v>0</v>
      </c>
      <c r="C265" s="34"/>
      <c r="D265" s="28"/>
      <c r="E265" s="68"/>
      <c r="F265" s="39" t="s">
        <v>87</v>
      </c>
      <c r="G265" s="39" t="s">
        <v>88</v>
      </c>
      <c r="H265" s="39" t="s">
        <v>89</v>
      </c>
      <c r="I265" s="39" t="s">
        <v>90</v>
      </c>
      <c r="J265" s="39" t="s">
        <v>91</v>
      </c>
      <c r="K265" s="39" t="s">
        <v>476</v>
      </c>
      <c r="L265" s="39" t="s">
        <v>477</v>
      </c>
      <c r="M265" s="39" t="s">
        <v>93</v>
      </c>
      <c r="N265" s="11"/>
    </row>
    <row r="266" spans="1:14" ht="20.100000000000001" customHeight="1" thickTop="1">
      <c r="A266" s="161" t="s">
        <v>21</v>
      </c>
      <c r="B266" s="26">
        <v>0</v>
      </c>
      <c r="C266" s="35" t="str">
        <f>$C$7</f>
        <v>Sopa</v>
      </c>
      <c r="D266" s="28"/>
      <c r="E266" s="78" t="s">
        <v>29</v>
      </c>
      <c r="F266" s="40">
        <v>465.7</v>
      </c>
      <c r="G266" s="40">
        <v>111.3</v>
      </c>
      <c r="H266" s="40">
        <v>3.6</v>
      </c>
      <c r="I266" s="40">
        <v>0.6</v>
      </c>
      <c r="J266" s="40">
        <v>15.8</v>
      </c>
      <c r="K266" s="40">
        <v>4.2</v>
      </c>
      <c r="L266" s="40">
        <v>3.8</v>
      </c>
      <c r="M266" s="40">
        <v>0.3</v>
      </c>
      <c r="N266" s="15" t="s">
        <v>55</v>
      </c>
    </row>
    <row r="267" spans="1:14" ht="42" customHeight="1">
      <c r="A267" s="162"/>
      <c r="B267" s="17">
        <v>0</v>
      </c>
      <c r="C267" s="42" t="s">
        <v>18</v>
      </c>
      <c r="D267" s="28"/>
      <c r="E267" s="78" t="s">
        <v>415</v>
      </c>
      <c r="F267" s="60">
        <v>2041.2</v>
      </c>
      <c r="G267" s="40">
        <v>487.8</v>
      </c>
      <c r="H267" s="40">
        <v>8.1</v>
      </c>
      <c r="I267" s="40">
        <v>1.1000000000000001</v>
      </c>
      <c r="J267" s="40">
        <v>79.2</v>
      </c>
      <c r="K267" s="40">
        <v>5.8</v>
      </c>
      <c r="L267" s="40">
        <v>22.4</v>
      </c>
      <c r="M267" s="40">
        <v>0.1</v>
      </c>
      <c r="N267" s="15" t="s">
        <v>55</v>
      </c>
    </row>
    <row r="268" spans="1:14" ht="20.100000000000001" customHeight="1">
      <c r="A268" s="162"/>
      <c r="B268" s="26">
        <v>0</v>
      </c>
      <c r="C268" s="42" t="s">
        <v>373</v>
      </c>
      <c r="D268" s="28"/>
      <c r="E268" s="78" t="s">
        <v>145</v>
      </c>
      <c r="F268" s="40">
        <f>20+32.4+163.3</f>
        <v>215.70000000000002</v>
      </c>
      <c r="G268" s="40">
        <f>4.8+7.7+39.2</f>
        <v>51.7</v>
      </c>
      <c r="H268" s="40">
        <v>0.6</v>
      </c>
      <c r="I268" s="40">
        <v>0</v>
      </c>
      <c r="J268" s="40">
        <f>0.3+1.8+7.1</f>
        <v>9.1999999999999993</v>
      </c>
      <c r="K268" s="40">
        <f>0.3+1.6</f>
        <v>1.9000000000000001</v>
      </c>
      <c r="L268" s="40">
        <f>0.7+0.2+1.5</f>
        <v>2.4</v>
      </c>
      <c r="M268" s="40">
        <v>0.1</v>
      </c>
      <c r="N268" s="15" t="s">
        <v>55</v>
      </c>
    </row>
    <row r="269" spans="1:14" ht="20.100000000000001" customHeight="1">
      <c r="A269" s="162"/>
      <c r="B269" s="17">
        <v>0</v>
      </c>
      <c r="C269" s="36" t="str">
        <f>$C$10</f>
        <v>Sobremesa</v>
      </c>
      <c r="D269" s="28"/>
      <c r="E269" s="78" t="s">
        <v>26</v>
      </c>
      <c r="F269" s="40">
        <v>319.7</v>
      </c>
      <c r="G269" s="61">
        <v>76.400000000000006</v>
      </c>
      <c r="H269" s="61">
        <v>0.5</v>
      </c>
      <c r="I269" s="61">
        <v>0.2</v>
      </c>
      <c r="J269" s="61">
        <v>16.899999999999999</v>
      </c>
      <c r="K269" s="61">
        <v>16.7</v>
      </c>
      <c r="L269" s="61">
        <v>1.1000000000000001</v>
      </c>
      <c r="M269" s="61">
        <v>0</v>
      </c>
      <c r="N269" s="15" t="s">
        <v>55</v>
      </c>
    </row>
    <row r="270" spans="1:14" ht="20.100000000000001" customHeight="1">
      <c r="A270" s="162"/>
      <c r="B270" s="26">
        <v>0</v>
      </c>
      <c r="C270" s="36" t="str">
        <f>$C$11</f>
        <v>Pão</v>
      </c>
      <c r="D270" s="28"/>
      <c r="E270" s="70" t="s">
        <v>25</v>
      </c>
      <c r="F270" s="163" t="s">
        <v>95</v>
      </c>
      <c r="G270" s="164"/>
      <c r="H270" s="164"/>
      <c r="I270" s="164"/>
      <c r="J270" s="164"/>
      <c r="K270" s="164"/>
      <c r="L270" s="164"/>
      <c r="M270" s="165"/>
      <c r="N270" s="14"/>
    </row>
    <row r="271" spans="1:14" ht="20.100000000000001" customHeight="1">
      <c r="A271" s="30"/>
      <c r="B271" s="17">
        <v>0</v>
      </c>
      <c r="C271" s="31"/>
      <c r="D271" s="28"/>
      <c r="E271" s="71"/>
      <c r="F271" s="32"/>
      <c r="G271" s="32"/>
      <c r="H271" s="32"/>
      <c r="I271" s="32"/>
      <c r="J271" s="32"/>
      <c r="K271" s="32"/>
      <c r="L271" s="32"/>
      <c r="M271" s="32"/>
      <c r="N271" s="4"/>
    </row>
    <row r="272" spans="1:14" ht="20.100000000000001" customHeight="1" thickBot="1">
      <c r="A272" s="33"/>
      <c r="B272" s="26">
        <v>0</v>
      </c>
      <c r="C272" s="34"/>
      <c r="D272" s="28"/>
      <c r="F272" s="39" t="s">
        <v>87</v>
      </c>
      <c r="G272" s="39" t="s">
        <v>88</v>
      </c>
      <c r="H272" s="39" t="s">
        <v>89</v>
      </c>
      <c r="I272" s="39" t="s">
        <v>90</v>
      </c>
      <c r="J272" s="39" t="s">
        <v>91</v>
      </c>
      <c r="K272" s="39" t="s">
        <v>476</v>
      </c>
      <c r="L272" s="39" t="s">
        <v>477</v>
      </c>
      <c r="M272" s="39" t="s">
        <v>93</v>
      </c>
      <c r="N272" s="11"/>
    </row>
    <row r="273" spans="1:14" ht="20.100000000000001" customHeight="1" thickTop="1">
      <c r="A273" s="161" t="s">
        <v>22</v>
      </c>
      <c r="B273" s="17">
        <v>0</v>
      </c>
      <c r="C273" s="35" t="str">
        <f>$C$7</f>
        <v>Sopa</v>
      </c>
      <c r="D273" s="28"/>
      <c r="E273" s="78" t="s">
        <v>142</v>
      </c>
      <c r="F273" s="40">
        <v>909.5</v>
      </c>
      <c r="G273" s="40">
        <v>217.6</v>
      </c>
      <c r="H273" s="40">
        <v>3.8</v>
      </c>
      <c r="I273" s="40">
        <v>0.6</v>
      </c>
      <c r="J273" s="40">
        <v>33</v>
      </c>
      <c r="K273" s="40">
        <v>5.3</v>
      </c>
      <c r="L273" s="40">
        <v>12.1</v>
      </c>
      <c r="M273" s="40">
        <v>0.2</v>
      </c>
      <c r="N273" s="15" t="s">
        <v>55</v>
      </c>
    </row>
    <row r="274" spans="1:14" ht="20.100000000000001" customHeight="1">
      <c r="A274" s="162"/>
      <c r="B274" s="26">
        <v>0</v>
      </c>
      <c r="C274" s="42" t="s">
        <v>18</v>
      </c>
      <c r="D274" s="28"/>
      <c r="E274" s="78" t="s">
        <v>416</v>
      </c>
      <c r="F274" s="60">
        <v>2219.8000000000002</v>
      </c>
      <c r="G274" s="40">
        <v>530.5</v>
      </c>
      <c r="H274" s="40">
        <v>7.6</v>
      </c>
      <c r="I274" s="40">
        <v>1</v>
      </c>
      <c r="J274" s="40">
        <v>88.6</v>
      </c>
      <c r="K274" s="40">
        <v>10.1</v>
      </c>
      <c r="L274" s="40">
        <v>24.8</v>
      </c>
      <c r="M274" s="40">
        <v>0.3</v>
      </c>
      <c r="N274" s="15" t="s">
        <v>55</v>
      </c>
    </row>
    <row r="275" spans="1:14" ht="20.100000000000001" customHeight="1">
      <c r="A275" s="162"/>
      <c r="B275" s="17">
        <v>0</v>
      </c>
      <c r="C275" s="42" t="s">
        <v>373</v>
      </c>
      <c r="D275" s="28"/>
      <c r="E275" s="78" t="s">
        <v>114</v>
      </c>
      <c r="F275" s="40">
        <f>20+25.6+40</f>
        <v>85.6</v>
      </c>
      <c r="G275" s="40">
        <f>4.8+6.1+9.6</f>
        <v>20.5</v>
      </c>
      <c r="H275" s="40">
        <f>0.1+0.2+0.2</f>
        <v>0.5</v>
      </c>
      <c r="I275" s="40">
        <v>0.1</v>
      </c>
      <c r="J275" s="40">
        <f>0.3+0.6+1.8</f>
        <v>2.7</v>
      </c>
      <c r="K275" s="40">
        <f>0.3+0.6+1.8</f>
        <v>2.7</v>
      </c>
      <c r="L275" s="40">
        <f>0.7+0.5+0.4</f>
        <v>1.6</v>
      </c>
      <c r="M275" s="40">
        <v>0</v>
      </c>
      <c r="N275" s="15" t="s">
        <v>55</v>
      </c>
    </row>
    <row r="276" spans="1:14" ht="20.100000000000001" customHeight="1">
      <c r="A276" s="162"/>
      <c r="B276" s="26">
        <v>0</v>
      </c>
      <c r="C276" s="36" t="str">
        <f>$C$10</f>
        <v>Sobremesa</v>
      </c>
      <c r="D276" s="28"/>
      <c r="E276" s="69" t="s">
        <v>26</v>
      </c>
      <c r="F276" s="40">
        <v>319.7</v>
      </c>
      <c r="G276" s="61">
        <v>76.400000000000006</v>
      </c>
      <c r="H276" s="61">
        <v>0.5</v>
      </c>
      <c r="I276" s="61">
        <v>0.2</v>
      </c>
      <c r="J276" s="61">
        <v>16.899999999999999</v>
      </c>
      <c r="K276" s="61">
        <v>16.7</v>
      </c>
      <c r="L276" s="61">
        <v>1.1000000000000001</v>
      </c>
      <c r="M276" s="61">
        <v>0</v>
      </c>
      <c r="N276" s="15" t="s">
        <v>55</v>
      </c>
    </row>
    <row r="277" spans="1:14" ht="20.100000000000001" customHeight="1">
      <c r="A277" s="162"/>
      <c r="B277" s="17">
        <v>0</v>
      </c>
      <c r="C277" s="36" t="str">
        <f>$C$11</f>
        <v>Pão</v>
      </c>
      <c r="D277" s="28"/>
      <c r="E277" s="70" t="s">
        <v>25</v>
      </c>
      <c r="F277" s="163" t="s">
        <v>95</v>
      </c>
      <c r="G277" s="164"/>
      <c r="H277" s="164"/>
      <c r="I277" s="164"/>
      <c r="J277" s="164"/>
      <c r="K277" s="164"/>
      <c r="L277" s="164"/>
      <c r="M277" s="165"/>
      <c r="N277" s="14"/>
    </row>
    <row r="278" spans="1:14" ht="20.100000000000001" customHeight="1">
      <c r="A278" s="30"/>
      <c r="B278" s="26">
        <v>0</v>
      </c>
      <c r="C278" s="31"/>
      <c r="D278" s="28"/>
      <c r="E278" s="71"/>
      <c r="F278" s="32"/>
      <c r="G278" s="32"/>
      <c r="H278" s="32"/>
      <c r="I278" s="32"/>
      <c r="J278" s="32"/>
      <c r="K278" s="32"/>
      <c r="L278" s="32"/>
      <c r="M278" s="32"/>
      <c r="N278" s="4"/>
    </row>
    <row r="279" spans="1:14" ht="20.100000000000001" customHeight="1" thickBot="1">
      <c r="A279" s="33"/>
      <c r="B279" s="17">
        <v>0</v>
      </c>
      <c r="C279" s="34"/>
      <c r="D279" s="28"/>
      <c r="E279" s="68"/>
      <c r="F279" s="39" t="s">
        <v>87</v>
      </c>
      <c r="G279" s="39" t="s">
        <v>88</v>
      </c>
      <c r="H279" s="39" t="s">
        <v>89</v>
      </c>
      <c r="I279" s="39" t="s">
        <v>90</v>
      </c>
      <c r="J279" s="39" t="s">
        <v>91</v>
      </c>
      <c r="K279" s="39" t="s">
        <v>476</v>
      </c>
      <c r="L279" s="39" t="s">
        <v>477</v>
      </c>
      <c r="M279" s="39" t="s">
        <v>93</v>
      </c>
      <c r="N279" s="11"/>
    </row>
    <row r="280" spans="1:14" ht="18.75" thickTop="1">
      <c r="A280" s="161" t="s">
        <v>23</v>
      </c>
      <c r="B280" s="26">
        <v>0</v>
      </c>
      <c r="C280" s="35" t="str">
        <f>$C$7</f>
        <v>Sopa</v>
      </c>
      <c r="D280" s="28"/>
      <c r="E280" s="78" t="s">
        <v>143</v>
      </c>
      <c r="F280" s="40">
        <v>886.6</v>
      </c>
      <c r="G280" s="40">
        <v>212.1</v>
      </c>
      <c r="H280" s="40">
        <v>3.7</v>
      </c>
      <c r="I280" s="40">
        <v>0.6</v>
      </c>
      <c r="J280" s="40">
        <v>32.700000000000003</v>
      </c>
      <c r="K280" s="40">
        <v>5</v>
      </c>
      <c r="L280" s="40">
        <v>11.4</v>
      </c>
      <c r="M280" s="40">
        <v>0.2</v>
      </c>
      <c r="N280" s="15" t="s">
        <v>55</v>
      </c>
    </row>
    <row r="281" spans="1:14" ht="38.25" customHeight="1">
      <c r="A281" s="162"/>
      <c r="B281" s="17">
        <v>0</v>
      </c>
      <c r="C281" s="42" t="s">
        <v>18</v>
      </c>
      <c r="D281" s="28"/>
      <c r="E281" s="78" t="s">
        <v>417</v>
      </c>
      <c r="F281" s="60">
        <f>445+787.2</f>
        <v>1232.2</v>
      </c>
      <c r="G281" s="40">
        <f>106.4+188.1</f>
        <v>294.5</v>
      </c>
      <c r="H281" s="40">
        <f>3.2+0.1</f>
        <v>3.3000000000000003</v>
      </c>
      <c r="I281" s="40">
        <v>0.5</v>
      </c>
      <c r="J281" s="40">
        <f>12.6+39.9</f>
        <v>52.5</v>
      </c>
      <c r="K281" s="40">
        <f>0.9+3.2</f>
        <v>4.1000000000000005</v>
      </c>
      <c r="L281" s="40">
        <f>6.5+5.8</f>
        <v>12.3</v>
      </c>
      <c r="M281" s="40">
        <v>0.2</v>
      </c>
      <c r="N281" s="15" t="s">
        <v>55</v>
      </c>
    </row>
    <row r="282" spans="1:14" ht="20.100000000000001" customHeight="1">
      <c r="A282" s="162"/>
      <c r="B282" s="26">
        <v>0</v>
      </c>
      <c r="C282" s="42" t="s">
        <v>373</v>
      </c>
      <c r="D282" s="28"/>
      <c r="E282" s="78" t="s">
        <v>146</v>
      </c>
      <c r="F282" s="40">
        <f>32.4+28.5+40</f>
        <v>100.9</v>
      </c>
      <c r="G282" s="40">
        <f>7.7+6.8+9.6</f>
        <v>24.1</v>
      </c>
      <c r="H282" s="40">
        <v>0.2</v>
      </c>
      <c r="I282" s="40">
        <v>0</v>
      </c>
      <c r="J282" s="40">
        <f>1.8+1.2+1.8</f>
        <v>4.8</v>
      </c>
      <c r="K282" s="40">
        <f>1.6+1+1.8</f>
        <v>4.4000000000000004</v>
      </c>
      <c r="L282" s="40">
        <f>0.2+0.6+0.4</f>
        <v>1.2000000000000002</v>
      </c>
      <c r="M282" s="40">
        <v>0.1</v>
      </c>
      <c r="N282" s="15" t="s">
        <v>55</v>
      </c>
    </row>
    <row r="283" spans="1:14" ht="20.100000000000001" customHeight="1">
      <c r="A283" s="162"/>
      <c r="B283" s="17">
        <v>0</v>
      </c>
      <c r="C283" s="36" t="str">
        <f>$C$10</f>
        <v>Sobremesa</v>
      </c>
      <c r="D283" s="28"/>
      <c r="E283" s="78" t="s">
        <v>26</v>
      </c>
      <c r="F283" s="40">
        <v>319.7</v>
      </c>
      <c r="G283" s="61">
        <v>76.400000000000006</v>
      </c>
      <c r="H283" s="61">
        <v>0.5</v>
      </c>
      <c r="I283" s="61">
        <v>0.2</v>
      </c>
      <c r="J283" s="61">
        <v>16.899999999999999</v>
      </c>
      <c r="K283" s="61">
        <v>16.7</v>
      </c>
      <c r="L283" s="61">
        <v>1.1000000000000001</v>
      </c>
      <c r="M283" s="61">
        <v>0</v>
      </c>
      <c r="N283" s="15" t="s">
        <v>55</v>
      </c>
    </row>
    <row r="284" spans="1:14" ht="20.100000000000001" customHeight="1">
      <c r="A284" s="162"/>
      <c r="B284" s="26">
        <v>0</v>
      </c>
      <c r="C284" s="36" t="str">
        <f>$C$11</f>
        <v>Pão</v>
      </c>
      <c r="D284" s="28"/>
      <c r="E284" s="70" t="s">
        <v>25</v>
      </c>
      <c r="F284" s="163" t="s">
        <v>95</v>
      </c>
      <c r="G284" s="164"/>
      <c r="H284" s="164"/>
      <c r="I284" s="164"/>
      <c r="J284" s="164"/>
      <c r="K284" s="164"/>
      <c r="L284" s="164"/>
      <c r="M284" s="165"/>
      <c r="N284" s="14"/>
    </row>
    <row r="285" spans="1:14" ht="20.100000000000001" customHeight="1">
      <c r="A285" s="30"/>
      <c r="B285" s="17">
        <v>0</v>
      </c>
      <c r="C285" s="31"/>
      <c r="D285" s="28"/>
      <c r="E285" s="71"/>
      <c r="F285" s="32"/>
      <c r="G285" s="32"/>
      <c r="H285" s="32"/>
      <c r="I285" s="32"/>
      <c r="J285" s="32"/>
      <c r="K285" s="32"/>
      <c r="L285" s="32"/>
      <c r="M285" s="32"/>
      <c r="N285" s="4"/>
    </row>
    <row r="286" spans="1:14" ht="20.100000000000001" customHeight="1" thickBot="1">
      <c r="A286" s="33"/>
      <c r="B286" s="26">
        <v>0</v>
      </c>
      <c r="C286" s="34"/>
      <c r="D286" s="28"/>
      <c r="E286" s="68"/>
      <c r="F286" s="39" t="s">
        <v>87</v>
      </c>
      <c r="G286" s="39" t="s">
        <v>88</v>
      </c>
      <c r="H286" s="39" t="s">
        <v>89</v>
      </c>
      <c r="I286" s="39" t="s">
        <v>90</v>
      </c>
      <c r="J286" s="39" t="s">
        <v>91</v>
      </c>
      <c r="K286" s="39" t="s">
        <v>476</v>
      </c>
      <c r="L286" s="39" t="s">
        <v>477</v>
      </c>
      <c r="M286" s="39" t="s">
        <v>93</v>
      </c>
      <c r="N286" s="11"/>
    </row>
    <row r="287" spans="1:14" ht="20.100000000000001" customHeight="1" thickTop="1">
      <c r="A287" s="161" t="s">
        <v>24</v>
      </c>
      <c r="B287" s="17">
        <v>0</v>
      </c>
      <c r="C287" s="35" t="str">
        <f>$C$7</f>
        <v>Sopa</v>
      </c>
      <c r="D287" s="28"/>
      <c r="E287" s="69" t="s">
        <v>100</v>
      </c>
      <c r="F287" s="40">
        <v>798.5</v>
      </c>
      <c r="G287" s="40">
        <v>190.8</v>
      </c>
      <c r="H287" s="40">
        <v>6.7</v>
      </c>
      <c r="I287" s="40">
        <v>1.7</v>
      </c>
      <c r="J287" s="40">
        <v>25.2</v>
      </c>
      <c r="K287" s="40">
        <v>3.2</v>
      </c>
      <c r="L287" s="40">
        <v>6.8</v>
      </c>
      <c r="M287" s="40">
        <v>0.7</v>
      </c>
      <c r="N287" s="15" t="s">
        <v>55</v>
      </c>
    </row>
    <row r="288" spans="1:14" ht="44.25" customHeight="1">
      <c r="A288" s="162"/>
      <c r="B288" s="26">
        <v>0</v>
      </c>
      <c r="C288" s="42" t="s">
        <v>18</v>
      </c>
      <c r="D288" s="28"/>
      <c r="E288" s="78" t="s">
        <v>418</v>
      </c>
      <c r="F288" s="60">
        <v>1137.3</v>
      </c>
      <c r="G288" s="40">
        <v>271.8</v>
      </c>
      <c r="H288" s="40">
        <v>3.7</v>
      </c>
      <c r="I288" s="40">
        <v>0.6</v>
      </c>
      <c r="J288" s="40">
        <v>50.7</v>
      </c>
      <c r="K288" s="40">
        <v>1.8</v>
      </c>
      <c r="L288" s="40">
        <v>7.1</v>
      </c>
      <c r="M288" s="40">
        <v>0.1</v>
      </c>
      <c r="N288" s="15" t="s">
        <v>55</v>
      </c>
    </row>
    <row r="289" spans="1:14" ht="20.100000000000001" customHeight="1">
      <c r="A289" s="162"/>
      <c r="B289" s="17">
        <v>0</v>
      </c>
      <c r="C289" s="42" t="s">
        <v>373</v>
      </c>
      <c r="D289" s="28"/>
      <c r="E289" s="78" t="s">
        <v>99</v>
      </c>
      <c r="F289" s="40">
        <f>20+30+163.3</f>
        <v>213.3</v>
      </c>
      <c r="G289" s="40">
        <f>4.8+7.2+39.2</f>
        <v>51.2</v>
      </c>
      <c r="H289" s="40">
        <v>0.6</v>
      </c>
      <c r="I289" s="40">
        <v>0</v>
      </c>
      <c r="J289" s="40">
        <f>0.3+1.4+7.1</f>
        <v>8.7999999999999989</v>
      </c>
      <c r="K289" s="40">
        <f>0.3+1.4</f>
        <v>1.7</v>
      </c>
      <c r="L289" s="40">
        <f>0.7+0.4+1.5</f>
        <v>2.6</v>
      </c>
      <c r="M289" s="40">
        <v>0.1</v>
      </c>
      <c r="N289" s="15" t="s">
        <v>55</v>
      </c>
    </row>
    <row r="290" spans="1:14" ht="18">
      <c r="A290" s="162"/>
      <c r="B290" s="26">
        <v>0</v>
      </c>
      <c r="C290" s="36" t="str">
        <f>$C$10</f>
        <v>Sobremesa</v>
      </c>
      <c r="D290" s="28"/>
      <c r="E290" s="78" t="s">
        <v>38</v>
      </c>
      <c r="F290" s="40">
        <v>319.7</v>
      </c>
      <c r="G290" s="61">
        <v>76.400000000000006</v>
      </c>
      <c r="H290" s="61">
        <v>0.5</v>
      </c>
      <c r="I290" s="61">
        <v>0.2</v>
      </c>
      <c r="J290" s="61">
        <v>16.899999999999999</v>
      </c>
      <c r="K290" s="61">
        <v>16.7</v>
      </c>
      <c r="L290" s="61">
        <v>1.1000000000000001</v>
      </c>
      <c r="M290" s="61">
        <v>0</v>
      </c>
      <c r="N290" s="15" t="s">
        <v>55</v>
      </c>
    </row>
    <row r="291" spans="1:14" ht="20.100000000000001" customHeight="1">
      <c r="A291" s="162"/>
      <c r="B291" s="17">
        <v>0</v>
      </c>
      <c r="C291" s="36" t="str">
        <f>$C$11</f>
        <v>Pão</v>
      </c>
      <c r="D291" s="28"/>
      <c r="E291" s="70" t="s">
        <v>25</v>
      </c>
      <c r="F291" s="163" t="s">
        <v>95</v>
      </c>
      <c r="G291" s="164"/>
      <c r="H291" s="164"/>
      <c r="I291" s="164"/>
      <c r="J291" s="164"/>
      <c r="K291" s="164"/>
      <c r="L291" s="164"/>
      <c r="M291" s="165"/>
      <c r="N291" s="14"/>
    </row>
    <row r="292" spans="1:14" ht="123" customHeight="1">
      <c r="A292" s="166" t="str">
        <f>+A$40</f>
        <v xml:space="preserve">
A sua refeição contém ou pode conter as seguintes substâncias ou produtos e seus derivados: 1Cereais que contêm glúten, 2Crustáceos , 3Ovos, 4Peixes, 5Amendoins, 6Soja, 7Leite, 8Frutos de casca rija, 9Aipo, 10Mostarda, 11Sementes de sésamo, 12Dióxido de enxofre e sulfitos, 13Tremoço, 14Moluscos. 
Para quem não é alérgico ou intolerante, estas substâncias ou produtos são completamente inofensivas. 
Caso necessite informação adicional sobre os produtos em causa deve solicitar aos funcionários.
Declaração nutricional: valores médios de 100 g ou 100 ml, calculados a partir dos valores médios conhecidos dos ingredientes utilizados, segundo o Instituto Nacional de Saúde Dr. Ricardo Jorge, Tabela da Composição de Alimentos (2007), e a informação disponibilizada pelos fornecedores.
Legenda: VE - Valor energético, Líp. - Lípidos, AG Sat. - Ácidos Gordos Saturados, HC - Hidratos de Carbono, Prot. - Proteínas.
</v>
      </c>
      <c r="B292" s="167"/>
      <c r="C292" s="167"/>
      <c r="D292" s="167"/>
      <c r="E292" s="167"/>
      <c r="F292" s="167"/>
      <c r="G292" s="167"/>
      <c r="H292" s="167"/>
      <c r="I292" s="167"/>
      <c r="J292" s="167"/>
      <c r="K292" s="167"/>
      <c r="L292" s="167"/>
      <c r="M292" s="167"/>
      <c r="N292" s="5"/>
    </row>
    <row r="293" spans="1:14" ht="39.950000000000003" customHeight="1">
      <c r="B293" s="17">
        <v>0</v>
      </c>
      <c r="C293" s="63" t="s">
        <v>109</v>
      </c>
      <c r="D293" s="24"/>
      <c r="E293" s="72" t="s">
        <v>382</v>
      </c>
      <c r="F293" s="37"/>
      <c r="G293" s="37"/>
      <c r="H293" s="37"/>
      <c r="I293" s="37"/>
      <c r="J293" s="37"/>
      <c r="K293" s="37"/>
      <c r="L293" s="37"/>
      <c r="M293" s="37"/>
      <c r="N293" s="12"/>
    </row>
    <row r="294" spans="1:14" ht="20.100000000000001" customHeight="1" thickBot="1">
      <c r="B294" s="26">
        <v>0</v>
      </c>
      <c r="E294" s="68"/>
      <c r="F294" s="39" t="s">
        <v>87</v>
      </c>
      <c r="G294" s="39" t="s">
        <v>88</v>
      </c>
      <c r="H294" s="39" t="s">
        <v>89</v>
      </c>
      <c r="I294" s="39" t="s">
        <v>90</v>
      </c>
      <c r="J294" s="39" t="s">
        <v>91</v>
      </c>
      <c r="K294" s="39" t="s">
        <v>476</v>
      </c>
      <c r="L294" s="39" t="s">
        <v>477</v>
      </c>
      <c r="M294" s="39" t="s">
        <v>93</v>
      </c>
      <c r="N294" s="11"/>
    </row>
    <row r="295" spans="1:14" ht="20.100000000000001" customHeight="1" thickTop="1">
      <c r="A295" s="161" t="s">
        <v>16</v>
      </c>
      <c r="B295" s="17">
        <v>0</v>
      </c>
      <c r="C295" s="27" t="s">
        <v>17</v>
      </c>
      <c r="D295" s="28"/>
      <c r="E295" s="69" t="s">
        <v>147</v>
      </c>
      <c r="F295" s="40">
        <v>274.60000000000002</v>
      </c>
      <c r="G295" s="40">
        <v>65.599999999999994</v>
      </c>
      <c r="H295" s="40">
        <v>3.5</v>
      </c>
      <c r="I295" s="40">
        <v>0.6</v>
      </c>
      <c r="J295" s="40">
        <v>6.5</v>
      </c>
      <c r="K295" s="40">
        <v>5.6</v>
      </c>
      <c r="L295" s="40">
        <v>2.2999999999999998</v>
      </c>
      <c r="M295" s="40">
        <v>0.2</v>
      </c>
      <c r="N295" s="15" t="s">
        <v>55</v>
      </c>
    </row>
    <row r="296" spans="1:14" ht="18" customHeight="1">
      <c r="A296" s="162"/>
      <c r="B296" s="26">
        <v>0</v>
      </c>
      <c r="C296" s="42" t="s">
        <v>18</v>
      </c>
      <c r="D296" s="28"/>
      <c r="E296" s="78" t="s">
        <v>474</v>
      </c>
      <c r="F296" s="40">
        <f>20+30+163.3</f>
        <v>213.3</v>
      </c>
      <c r="G296" s="40">
        <f>4.8+7.2+39.2</f>
        <v>51.2</v>
      </c>
      <c r="H296" s="40">
        <v>0.6</v>
      </c>
      <c r="I296" s="40">
        <v>0</v>
      </c>
      <c r="J296" s="40">
        <f>0.3+1.4+7.1</f>
        <v>8.7999999999999989</v>
      </c>
      <c r="K296" s="40">
        <f>0.3+1.4</f>
        <v>1.7</v>
      </c>
      <c r="L296" s="40">
        <f>0.7+0.4+1.5</f>
        <v>2.6</v>
      </c>
      <c r="M296" s="40">
        <v>0.1</v>
      </c>
      <c r="N296" s="15" t="s">
        <v>55</v>
      </c>
    </row>
    <row r="297" spans="1:14" ht="20.100000000000001" customHeight="1">
      <c r="A297" s="162"/>
      <c r="B297" s="17">
        <v>0</v>
      </c>
      <c r="C297" s="42" t="s">
        <v>373</v>
      </c>
      <c r="D297" s="28"/>
      <c r="E297" s="78" t="s">
        <v>148</v>
      </c>
      <c r="F297" s="60">
        <f>20+32.4+40</f>
        <v>92.4</v>
      </c>
      <c r="G297" s="40">
        <f>4.8+7.7+9.6</f>
        <v>22.1</v>
      </c>
      <c r="H297" s="40">
        <f>0.1+0.2</f>
        <v>0.30000000000000004</v>
      </c>
      <c r="I297" s="40">
        <v>0</v>
      </c>
      <c r="J297" s="40">
        <f>0.3+1.8+1.8</f>
        <v>3.9000000000000004</v>
      </c>
      <c r="K297" s="40">
        <f>0.3+1.6+1.8</f>
        <v>3.7</v>
      </c>
      <c r="L297" s="40">
        <f>0.7+0.2+0.4</f>
        <v>1.2999999999999998</v>
      </c>
      <c r="M297" s="40">
        <v>0.1</v>
      </c>
      <c r="N297" s="15" t="s">
        <v>55</v>
      </c>
    </row>
    <row r="298" spans="1:14" ht="20.100000000000001" customHeight="1">
      <c r="A298" s="162"/>
      <c r="B298" s="26">
        <v>0</v>
      </c>
      <c r="C298" s="29" t="s">
        <v>19</v>
      </c>
      <c r="D298" s="28"/>
      <c r="E298" s="78" t="s">
        <v>26</v>
      </c>
      <c r="F298" s="40">
        <v>319.7</v>
      </c>
      <c r="G298" s="61">
        <v>76.400000000000006</v>
      </c>
      <c r="H298" s="61">
        <v>0.5</v>
      </c>
      <c r="I298" s="61">
        <v>0.2</v>
      </c>
      <c r="J298" s="61">
        <v>16.899999999999999</v>
      </c>
      <c r="K298" s="61">
        <v>16.7</v>
      </c>
      <c r="L298" s="61">
        <v>1.1000000000000001</v>
      </c>
      <c r="M298" s="61">
        <v>0</v>
      </c>
      <c r="N298" s="15" t="s">
        <v>55</v>
      </c>
    </row>
    <row r="299" spans="1:14" ht="20.100000000000001" customHeight="1">
      <c r="A299" s="162"/>
      <c r="B299" s="17">
        <v>0</v>
      </c>
      <c r="C299" s="29" t="s">
        <v>20</v>
      </c>
      <c r="D299" s="28"/>
      <c r="E299" s="70" t="s">
        <v>25</v>
      </c>
      <c r="F299" s="163" t="s">
        <v>95</v>
      </c>
      <c r="G299" s="164"/>
      <c r="H299" s="164"/>
      <c r="I299" s="164"/>
      <c r="J299" s="164"/>
      <c r="K299" s="164"/>
      <c r="L299" s="164"/>
      <c r="M299" s="165"/>
      <c r="N299" s="14"/>
    </row>
    <row r="300" spans="1:14" ht="20.100000000000001" customHeight="1">
      <c r="A300" s="30"/>
      <c r="B300" s="26">
        <v>0</v>
      </c>
      <c r="C300" s="31"/>
      <c r="D300" s="28"/>
      <c r="E300" s="71"/>
      <c r="F300" s="32"/>
      <c r="G300" s="32"/>
      <c r="H300" s="32"/>
      <c r="I300" s="32"/>
      <c r="J300" s="32"/>
      <c r="K300" s="32"/>
      <c r="L300" s="32"/>
      <c r="M300" s="32"/>
      <c r="N300" s="4"/>
    </row>
    <row r="301" spans="1:14" ht="20.100000000000001" customHeight="1" thickBot="1">
      <c r="A301" s="33"/>
      <c r="B301" s="17">
        <v>0</v>
      </c>
      <c r="C301" s="34"/>
      <c r="D301" s="28"/>
      <c r="E301" s="68"/>
      <c r="F301" s="39" t="s">
        <v>87</v>
      </c>
      <c r="G301" s="39" t="s">
        <v>88</v>
      </c>
      <c r="H301" s="39" t="s">
        <v>89</v>
      </c>
      <c r="I301" s="39" t="s">
        <v>90</v>
      </c>
      <c r="J301" s="39" t="s">
        <v>91</v>
      </c>
      <c r="K301" s="39" t="s">
        <v>476</v>
      </c>
      <c r="L301" s="39" t="s">
        <v>477</v>
      </c>
      <c r="M301" s="39" t="s">
        <v>93</v>
      </c>
      <c r="N301" s="11"/>
    </row>
    <row r="302" spans="1:14" ht="20.100000000000001" customHeight="1" thickTop="1">
      <c r="A302" s="161" t="s">
        <v>21</v>
      </c>
      <c r="B302" s="26">
        <v>0</v>
      </c>
      <c r="C302" s="35" t="str">
        <f>$C$7</f>
        <v>Sopa</v>
      </c>
      <c r="D302" s="28"/>
      <c r="E302" s="69" t="s">
        <v>40</v>
      </c>
      <c r="F302" s="40">
        <v>582.20000000000005</v>
      </c>
      <c r="G302" s="40">
        <v>126.2</v>
      </c>
      <c r="H302" s="40">
        <v>3.5</v>
      </c>
      <c r="I302" s="40">
        <v>0.5</v>
      </c>
      <c r="J302" s="40">
        <v>18.8</v>
      </c>
      <c r="K302" s="40">
        <v>5.3</v>
      </c>
      <c r="L302" s="40">
        <v>4.8</v>
      </c>
      <c r="M302" s="40">
        <v>0.2</v>
      </c>
      <c r="N302" s="15" t="s">
        <v>55</v>
      </c>
    </row>
    <row r="303" spans="1:14" ht="18.75" customHeight="1">
      <c r="A303" s="162"/>
      <c r="B303" s="17">
        <v>0</v>
      </c>
      <c r="C303" s="42" t="s">
        <v>18</v>
      </c>
      <c r="D303" s="28"/>
      <c r="E303" s="69" t="s">
        <v>419</v>
      </c>
      <c r="F303" s="40">
        <v>1187.8</v>
      </c>
      <c r="G303" s="40">
        <v>283.89999999999998</v>
      </c>
      <c r="H303" s="40">
        <v>0.9</v>
      </c>
      <c r="I303" s="40">
        <v>0.5</v>
      </c>
      <c r="J303" s="40">
        <v>58.1</v>
      </c>
      <c r="K303" s="40">
        <v>8.9</v>
      </c>
      <c r="L303" s="40">
        <v>9.5</v>
      </c>
      <c r="M303" s="40">
        <v>0.3</v>
      </c>
      <c r="N303" s="15" t="s">
        <v>55</v>
      </c>
    </row>
    <row r="304" spans="1:14" ht="20.100000000000001" customHeight="1">
      <c r="A304" s="162"/>
      <c r="B304" s="26">
        <v>0</v>
      </c>
      <c r="C304" s="42" t="s">
        <v>373</v>
      </c>
      <c r="D304" s="28"/>
      <c r="E304" s="69" t="s">
        <v>457</v>
      </c>
      <c r="F304" s="60">
        <f>29.2+28.5+40</f>
        <v>97.7</v>
      </c>
      <c r="G304" s="40">
        <f>7+6.8+9.6</f>
        <v>23.4</v>
      </c>
      <c r="H304" s="40">
        <v>0.3</v>
      </c>
      <c r="I304" s="40">
        <v>0</v>
      </c>
      <c r="J304" s="40">
        <f>1.2+1.2+1.8</f>
        <v>4.2</v>
      </c>
      <c r="K304" s="40">
        <f>0.9+1+1.8</f>
        <v>3.7</v>
      </c>
      <c r="L304" s="40">
        <f>0.4+0.6+0.4</f>
        <v>1.4</v>
      </c>
      <c r="M304" s="40">
        <v>0</v>
      </c>
      <c r="N304" s="15" t="s">
        <v>55</v>
      </c>
    </row>
    <row r="305" spans="1:171" ht="20.100000000000001" customHeight="1">
      <c r="A305" s="162"/>
      <c r="B305" s="17">
        <v>0</v>
      </c>
      <c r="C305" s="36" t="str">
        <f>$C$10</f>
        <v>Sobremesa</v>
      </c>
      <c r="D305" s="28"/>
      <c r="E305" s="69" t="s">
        <v>38</v>
      </c>
      <c r="F305" s="40">
        <v>319.7</v>
      </c>
      <c r="G305" s="61">
        <v>76.400000000000006</v>
      </c>
      <c r="H305" s="61">
        <v>0.5</v>
      </c>
      <c r="I305" s="61">
        <v>0.2</v>
      </c>
      <c r="J305" s="61">
        <v>16.899999999999999</v>
      </c>
      <c r="K305" s="61">
        <v>16.7</v>
      </c>
      <c r="L305" s="61">
        <v>1.1000000000000001</v>
      </c>
      <c r="M305" s="61">
        <v>0</v>
      </c>
      <c r="N305" s="15" t="s">
        <v>55</v>
      </c>
    </row>
    <row r="306" spans="1:171" ht="20.100000000000001" customHeight="1">
      <c r="A306" s="162"/>
      <c r="B306" s="26">
        <v>0</v>
      </c>
      <c r="C306" s="36" t="str">
        <f>$C$11</f>
        <v>Pão</v>
      </c>
      <c r="D306" s="28"/>
      <c r="E306" s="69" t="s">
        <v>25</v>
      </c>
      <c r="F306" s="163" t="s">
        <v>95</v>
      </c>
      <c r="G306" s="164"/>
      <c r="H306" s="164"/>
      <c r="I306" s="164"/>
      <c r="J306" s="164"/>
      <c r="K306" s="164"/>
      <c r="L306" s="164"/>
      <c r="M306" s="165"/>
      <c r="N306" s="14"/>
    </row>
    <row r="307" spans="1:171" ht="20.100000000000001" customHeight="1">
      <c r="A307" s="30"/>
      <c r="B307" s="17">
        <v>0</v>
      </c>
      <c r="C307" s="31"/>
      <c r="D307" s="28"/>
      <c r="E307" s="71"/>
      <c r="F307" s="32"/>
      <c r="G307" s="32"/>
      <c r="H307" s="32"/>
      <c r="I307" s="32"/>
      <c r="J307" s="32"/>
      <c r="K307" s="32"/>
      <c r="L307" s="32"/>
      <c r="M307" s="32"/>
      <c r="N307" s="4"/>
    </row>
    <row r="308" spans="1:171" ht="20.100000000000001" customHeight="1" thickBot="1">
      <c r="A308" s="33"/>
      <c r="B308" s="26">
        <v>0</v>
      </c>
      <c r="C308" s="34"/>
      <c r="D308" s="28"/>
      <c r="E308" s="68"/>
      <c r="F308" s="39" t="s">
        <v>87</v>
      </c>
      <c r="G308" s="39" t="s">
        <v>88</v>
      </c>
      <c r="H308" s="39" t="s">
        <v>89</v>
      </c>
      <c r="I308" s="39" t="s">
        <v>90</v>
      </c>
      <c r="J308" s="39" t="s">
        <v>91</v>
      </c>
      <c r="K308" s="39" t="s">
        <v>476</v>
      </c>
      <c r="L308" s="39" t="s">
        <v>477</v>
      </c>
      <c r="M308" s="39" t="s">
        <v>93</v>
      </c>
      <c r="N308" s="11"/>
    </row>
    <row r="309" spans="1:171" ht="20.100000000000001" customHeight="1" thickTop="1">
      <c r="A309" s="161" t="s">
        <v>22</v>
      </c>
      <c r="B309" s="17">
        <v>0</v>
      </c>
      <c r="C309" s="35" t="str">
        <f>$C$7</f>
        <v>Sopa</v>
      </c>
      <c r="D309" s="28"/>
      <c r="E309" s="69"/>
      <c r="F309" s="40"/>
      <c r="G309" s="40"/>
      <c r="H309" s="40"/>
      <c r="I309" s="40"/>
      <c r="J309" s="40"/>
      <c r="K309" s="40"/>
      <c r="L309" s="40"/>
      <c r="M309" s="40"/>
      <c r="N309" s="15" t="s">
        <v>55</v>
      </c>
    </row>
    <row r="310" spans="1:171" ht="27" customHeight="1">
      <c r="A310" s="162"/>
      <c r="B310" s="26">
        <v>0</v>
      </c>
      <c r="C310" s="42" t="s">
        <v>18</v>
      </c>
      <c r="D310" s="28"/>
      <c r="E310" s="79" t="s">
        <v>392</v>
      </c>
      <c r="F310" s="40"/>
      <c r="G310" s="40"/>
      <c r="H310" s="40"/>
      <c r="I310" s="40"/>
      <c r="J310" s="40"/>
      <c r="K310" s="40"/>
      <c r="L310" s="40"/>
      <c r="M310" s="40"/>
      <c r="N310" s="80" t="s">
        <v>55</v>
      </c>
    </row>
    <row r="311" spans="1:171" ht="20.100000000000001" customHeight="1">
      <c r="A311" s="162"/>
      <c r="B311" s="17">
        <v>0</v>
      </c>
      <c r="C311" s="42" t="s">
        <v>373</v>
      </c>
      <c r="D311" s="28"/>
      <c r="E311" s="78"/>
      <c r="F311" s="60"/>
      <c r="G311" s="60"/>
      <c r="H311" s="60"/>
      <c r="I311" s="60"/>
      <c r="J311" s="60"/>
      <c r="K311" s="60"/>
      <c r="L311" s="60"/>
      <c r="M311" s="60"/>
      <c r="N311" s="14" t="s">
        <v>55</v>
      </c>
    </row>
    <row r="312" spans="1:171" ht="20.100000000000001" customHeight="1">
      <c r="A312" s="162"/>
      <c r="B312" s="26">
        <v>0</v>
      </c>
      <c r="C312" s="36" t="str">
        <f>$C$10</f>
        <v>Sobremesa</v>
      </c>
      <c r="D312" s="28"/>
      <c r="E312" s="78"/>
      <c r="F312" s="40"/>
      <c r="G312" s="40"/>
      <c r="H312" s="40"/>
      <c r="I312" s="40"/>
      <c r="J312" s="40"/>
      <c r="K312" s="40"/>
      <c r="L312" s="40"/>
      <c r="M312" s="40"/>
      <c r="N312" s="15" t="s">
        <v>55</v>
      </c>
    </row>
    <row r="313" spans="1:171" ht="27" customHeight="1">
      <c r="A313" s="162"/>
      <c r="B313" s="17">
        <v>0</v>
      </c>
      <c r="C313" s="36" t="str">
        <f>$C$11</f>
        <v>Pão</v>
      </c>
      <c r="D313" s="28"/>
      <c r="E313" s="70"/>
      <c r="F313" s="163" t="s">
        <v>95</v>
      </c>
      <c r="G313" s="164"/>
      <c r="H313" s="164"/>
      <c r="I313" s="164"/>
      <c r="J313" s="164"/>
      <c r="K313" s="164"/>
      <c r="L313" s="164"/>
      <c r="M313" s="165"/>
      <c r="N313" s="14"/>
    </row>
    <row r="314" spans="1:171" ht="20.100000000000001" customHeight="1">
      <c r="A314" s="30"/>
      <c r="B314" s="26">
        <v>0</v>
      </c>
      <c r="C314" s="31"/>
      <c r="D314" s="28"/>
      <c r="E314" s="71"/>
      <c r="F314" s="32"/>
      <c r="G314" s="32"/>
      <c r="H314" s="32"/>
      <c r="I314" s="32"/>
      <c r="J314" s="32"/>
      <c r="K314" s="32"/>
      <c r="L314" s="32"/>
      <c r="M314" s="32"/>
      <c r="N314" s="4"/>
    </row>
    <row r="315" spans="1:171" ht="20.100000000000001" customHeight="1" thickBot="1">
      <c r="A315" s="33"/>
      <c r="B315" s="17">
        <v>0</v>
      </c>
      <c r="C315" s="34"/>
      <c r="D315" s="28"/>
      <c r="F315" s="39" t="s">
        <v>87</v>
      </c>
      <c r="G315" s="39" t="s">
        <v>88</v>
      </c>
      <c r="H315" s="39" t="s">
        <v>89</v>
      </c>
      <c r="I315" s="39" t="s">
        <v>90</v>
      </c>
      <c r="J315" s="39" t="s">
        <v>91</v>
      </c>
      <c r="K315" s="39" t="s">
        <v>476</v>
      </c>
      <c r="L315" s="39" t="s">
        <v>477</v>
      </c>
      <c r="M315" s="39" t="s">
        <v>93</v>
      </c>
      <c r="N315" s="11"/>
    </row>
    <row r="316" spans="1:171" ht="20.100000000000001" customHeight="1" thickTop="1">
      <c r="A316" s="161" t="s">
        <v>23</v>
      </c>
      <c r="B316" s="26">
        <v>0</v>
      </c>
      <c r="C316" s="35" t="str">
        <f>$C$7</f>
        <v>Sopa</v>
      </c>
      <c r="D316" s="28"/>
      <c r="E316" s="69" t="s">
        <v>41</v>
      </c>
      <c r="F316" s="40">
        <v>847</v>
      </c>
      <c r="G316" s="40">
        <v>202.4</v>
      </c>
      <c r="H316" s="40">
        <v>3.7</v>
      </c>
      <c r="I316" s="40">
        <v>0.6</v>
      </c>
      <c r="J316" s="40">
        <v>30.2</v>
      </c>
      <c r="K316" s="40">
        <v>3.1</v>
      </c>
      <c r="L316" s="40">
        <v>11.4</v>
      </c>
      <c r="M316" s="40">
        <v>0.1</v>
      </c>
      <c r="N316" s="15" t="s">
        <v>55</v>
      </c>
    </row>
    <row r="317" spans="1:171" s="47" customFormat="1" ht="45.75" customHeight="1">
      <c r="A317" s="162"/>
      <c r="B317" s="44">
        <v>0</v>
      </c>
      <c r="C317" s="42" t="s">
        <v>18</v>
      </c>
      <c r="D317" s="45"/>
      <c r="E317" s="69" t="s">
        <v>472</v>
      </c>
      <c r="F317" s="40">
        <v>1436.2</v>
      </c>
      <c r="G317" s="40">
        <v>343.1</v>
      </c>
      <c r="H317" s="40">
        <v>4.8</v>
      </c>
      <c r="I317" s="40">
        <v>3.6</v>
      </c>
      <c r="J317" s="40">
        <v>60.9</v>
      </c>
      <c r="K317" s="40">
        <v>5.6</v>
      </c>
      <c r="L317" s="40">
        <v>11.9</v>
      </c>
      <c r="M317" s="40">
        <v>0.1</v>
      </c>
      <c r="N317" s="80" t="s">
        <v>55</v>
      </c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  <c r="AA317" s="46"/>
      <c r="AB317" s="46"/>
      <c r="AC317" s="46"/>
      <c r="AD317" s="46"/>
      <c r="AE317" s="46"/>
      <c r="AF317" s="46"/>
      <c r="AG317" s="46"/>
      <c r="AH317" s="46"/>
      <c r="AI317" s="46"/>
      <c r="AJ317" s="46"/>
      <c r="AK317" s="46"/>
      <c r="AL317" s="46"/>
      <c r="AM317" s="46"/>
      <c r="AN317" s="46"/>
      <c r="AO317" s="46"/>
      <c r="AP317" s="46"/>
      <c r="AQ317" s="46"/>
      <c r="AR317" s="46"/>
      <c r="AS317" s="46"/>
      <c r="AT317" s="46"/>
      <c r="AU317" s="46"/>
      <c r="AV317" s="46"/>
      <c r="AW317" s="46"/>
      <c r="AX317" s="46"/>
      <c r="AY317" s="46"/>
      <c r="AZ317" s="46"/>
      <c r="BA317" s="46"/>
      <c r="BB317" s="46"/>
      <c r="BC317" s="46"/>
      <c r="BD317" s="46"/>
      <c r="BE317" s="46"/>
      <c r="BF317" s="46"/>
      <c r="BG317" s="46"/>
      <c r="BH317" s="46"/>
      <c r="BI317" s="46"/>
      <c r="BJ317" s="46"/>
      <c r="BK317" s="46"/>
      <c r="BL317" s="46"/>
      <c r="BM317" s="46"/>
      <c r="BN317" s="46"/>
      <c r="BO317" s="46"/>
      <c r="BP317" s="46"/>
      <c r="BQ317" s="46"/>
      <c r="BR317" s="46"/>
      <c r="BS317" s="46"/>
      <c r="BT317" s="46"/>
      <c r="BU317" s="46"/>
      <c r="BV317" s="46"/>
      <c r="BW317" s="46"/>
      <c r="BX317" s="46"/>
      <c r="BY317" s="46"/>
      <c r="BZ317" s="46"/>
      <c r="CA317" s="46"/>
      <c r="CB317" s="46"/>
      <c r="CC317" s="46"/>
      <c r="CD317" s="46"/>
      <c r="CE317" s="46"/>
      <c r="CF317" s="46"/>
      <c r="CG317" s="46"/>
      <c r="CH317" s="46"/>
      <c r="CI317" s="46"/>
      <c r="CJ317" s="46"/>
      <c r="CK317" s="46"/>
      <c r="CL317" s="46"/>
      <c r="CM317" s="46"/>
      <c r="CN317" s="46"/>
      <c r="CO317" s="46"/>
      <c r="CP317" s="46"/>
      <c r="CQ317" s="46"/>
      <c r="CR317" s="46"/>
      <c r="CS317" s="46"/>
      <c r="CT317" s="46"/>
      <c r="CU317" s="46"/>
      <c r="CV317" s="46"/>
      <c r="CW317" s="46"/>
      <c r="CX317" s="46"/>
      <c r="CY317" s="46"/>
      <c r="CZ317" s="46"/>
      <c r="DA317" s="46"/>
      <c r="DB317" s="46"/>
      <c r="DC317" s="46"/>
      <c r="DD317" s="46"/>
      <c r="DE317" s="46"/>
      <c r="DF317" s="46"/>
      <c r="DG317" s="46"/>
      <c r="DH317" s="46"/>
      <c r="DI317" s="46"/>
      <c r="DJ317" s="46"/>
      <c r="DK317" s="46"/>
      <c r="DL317" s="46"/>
      <c r="DM317" s="46"/>
      <c r="DN317" s="46"/>
      <c r="DO317" s="46"/>
      <c r="DP317" s="46"/>
      <c r="DQ317" s="46"/>
      <c r="DR317" s="46"/>
      <c r="DS317" s="46"/>
      <c r="DT317" s="46"/>
      <c r="DU317" s="46"/>
      <c r="DV317" s="46"/>
      <c r="DW317" s="46"/>
      <c r="DX317" s="46"/>
      <c r="DY317" s="46"/>
      <c r="DZ317" s="46"/>
      <c r="EA317" s="46"/>
      <c r="EB317" s="46"/>
      <c r="EC317" s="46"/>
      <c r="ED317" s="46"/>
      <c r="EE317" s="46"/>
      <c r="EF317" s="46"/>
      <c r="EG317" s="46"/>
      <c r="EH317" s="46"/>
      <c r="EI317" s="46"/>
      <c r="EJ317" s="46"/>
      <c r="EK317" s="46"/>
      <c r="EL317" s="46"/>
      <c r="EM317" s="46"/>
      <c r="EN317" s="46"/>
      <c r="EO317" s="46"/>
      <c r="EP317" s="46"/>
      <c r="EQ317" s="46"/>
      <c r="ER317" s="46"/>
      <c r="ES317" s="46"/>
      <c r="ET317" s="46"/>
      <c r="EU317" s="46"/>
      <c r="EV317" s="46"/>
      <c r="EW317" s="46"/>
      <c r="EX317" s="46"/>
      <c r="EY317" s="46"/>
      <c r="EZ317" s="46"/>
      <c r="FA317" s="46"/>
      <c r="FB317" s="46"/>
      <c r="FC317" s="46"/>
      <c r="FD317" s="46"/>
      <c r="FE317" s="46"/>
      <c r="FF317" s="46"/>
      <c r="FG317" s="46"/>
      <c r="FH317" s="46"/>
      <c r="FI317" s="46"/>
      <c r="FJ317" s="46"/>
      <c r="FK317" s="46"/>
      <c r="FL317" s="46"/>
      <c r="FM317" s="46"/>
      <c r="FN317" s="46"/>
      <c r="FO317" s="46"/>
    </row>
    <row r="318" spans="1:171" ht="20.100000000000001" customHeight="1">
      <c r="A318" s="162"/>
      <c r="B318" s="26">
        <v>0</v>
      </c>
      <c r="C318" s="42" t="s">
        <v>373</v>
      </c>
      <c r="D318" s="28"/>
      <c r="E318" s="69" t="s">
        <v>149</v>
      </c>
      <c r="F318" s="40">
        <f>163.3+25.6+40</f>
        <v>228.9</v>
      </c>
      <c r="G318" s="40">
        <f>39.2+6.1+9.6</f>
        <v>54.900000000000006</v>
      </c>
      <c r="H318" s="40">
        <f>0.5+0.2+0.2</f>
        <v>0.89999999999999991</v>
      </c>
      <c r="I318" s="40">
        <v>0.1</v>
      </c>
      <c r="J318" s="40">
        <f>7.1+0.6+1.8</f>
        <v>9.5</v>
      </c>
      <c r="K318" s="40">
        <f>0.6+1.8</f>
        <v>2.4</v>
      </c>
      <c r="L318" s="40">
        <f>1.5+0.5+0.4</f>
        <v>2.4</v>
      </c>
      <c r="M318" s="40">
        <v>0</v>
      </c>
      <c r="N318" s="15" t="s">
        <v>55</v>
      </c>
    </row>
    <row r="319" spans="1:171" ht="20.100000000000001" customHeight="1">
      <c r="A319" s="162"/>
      <c r="B319" s="17">
        <v>0</v>
      </c>
      <c r="C319" s="36" t="str">
        <f>$C$10</f>
        <v>Sobremesa</v>
      </c>
      <c r="D319" s="28"/>
      <c r="E319" s="78" t="s">
        <v>101</v>
      </c>
      <c r="F319" s="40" t="s">
        <v>478</v>
      </c>
      <c r="G319" s="40" t="s">
        <v>479</v>
      </c>
      <c r="H319" s="40" t="s">
        <v>480</v>
      </c>
      <c r="I319" s="40" t="s">
        <v>481</v>
      </c>
      <c r="J319" s="40" t="s">
        <v>482</v>
      </c>
      <c r="K319" s="40" t="s">
        <v>483</v>
      </c>
      <c r="L319" s="40" t="s">
        <v>484</v>
      </c>
      <c r="M319" s="40" t="s">
        <v>485</v>
      </c>
      <c r="N319" s="41" t="s">
        <v>55</v>
      </c>
    </row>
    <row r="320" spans="1:171" ht="20.100000000000001" customHeight="1">
      <c r="A320" s="162"/>
      <c r="B320" s="26">
        <v>0</v>
      </c>
      <c r="C320" s="36" t="str">
        <f>$C$11</f>
        <v>Pão</v>
      </c>
      <c r="D320" s="28"/>
      <c r="E320" s="70" t="s">
        <v>25</v>
      </c>
      <c r="F320" s="163" t="s">
        <v>95</v>
      </c>
      <c r="G320" s="164"/>
      <c r="H320" s="164"/>
      <c r="I320" s="164"/>
      <c r="J320" s="164"/>
      <c r="K320" s="164"/>
      <c r="L320" s="164"/>
      <c r="M320" s="165"/>
      <c r="N320" s="14"/>
    </row>
    <row r="321" spans="1:14" ht="20.100000000000001" customHeight="1">
      <c r="A321" s="30"/>
      <c r="B321" s="17">
        <v>0</v>
      </c>
      <c r="C321" s="31"/>
      <c r="D321" s="28"/>
      <c r="E321" s="71"/>
      <c r="F321" s="32"/>
      <c r="G321" s="32"/>
      <c r="H321" s="32"/>
      <c r="I321" s="32"/>
      <c r="J321" s="32"/>
      <c r="K321" s="32"/>
      <c r="L321" s="32"/>
      <c r="M321" s="32"/>
      <c r="N321" s="4"/>
    </row>
    <row r="322" spans="1:14" ht="20.100000000000001" customHeight="1" thickBot="1">
      <c r="A322" s="33"/>
      <c r="B322" s="26">
        <v>0</v>
      </c>
      <c r="C322" s="34"/>
      <c r="D322" s="28"/>
      <c r="E322" s="68"/>
      <c r="F322" s="39" t="s">
        <v>87</v>
      </c>
      <c r="G322" s="39" t="s">
        <v>88</v>
      </c>
      <c r="H322" s="39" t="s">
        <v>89</v>
      </c>
      <c r="I322" s="39" t="s">
        <v>90</v>
      </c>
      <c r="J322" s="39" t="s">
        <v>91</v>
      </c>
      <c r="K322" s="39" t="s">
        <v>476</v>
      </c>
      <c r="L322" s="39" t="s">
        <v>477</v>
      </c>
      <c r="M322" s="39" t="s">
        <v>93</v>
      </c>
      <c r="N322" s="11"/>
    </row>
    <row r="323" spans="1:14" ht="20.100000000000001" customHeight="1" thickTop="1">
      <c r="A323" s="161" t="s">
        <v>24</v>
      </c>
      <c r="B323" s="17">
        <v>0</v>
      </c>
      <c r="C323" s="35" t="str">
        <f>$C$7</f>
        <v>Sopa</v>
      </c>
      <c r="D323" s="28"/>
      <c r="E323" s="69" t="s">
        <v>74</v>
      </c>
      <c r="F323" s="40">
        <v>525.29999999999995</v>
      </c>
      <c r="G323" s="40">
        <v>125.6</v>
      </c>
      <c r="H323" s="40">
        <v>3.5</v>
      </c>
      <c r="I323" s="40">
        <v>0.5</v>
      </c>
      <c r="J323" s="40">
        <v>18.7</v>
      </c>
      <c r="K323" s="40">
        <v>5.5</v>
      </c>
      <c r="L323" s="40">
        <v>4.5</v>
      </c>
      <c r="M323" s="40">
        <v>0.2</v>
      </c>
      <c r="N323" s="41" t="s">
        <v>55</v>
      </c>
    </row>
    <row r="324" spans="1:14" ht="33" customHeight="1">
      <c r="A324" s="162"/>
      <c r="B324" s="26">
        <v>0</v>
      </c>
      <c r="C324" s="42" t="s">
        <v>18</v>
      </c>
      <c r="D324" s="28"/>
      <c r="E324" s="69" t="s">
        <v>396</v>
      </c>
      <c r="F324" s="60">
        <v>397.4</v>
      </c>
      <c r="G324" s="60">
        <f>95.1+240.7</f>
        <v>335.79999999999995</v>
      </c>
      <c r="H324" s="60">
        <v>3.8</v>
      </c>
      <c r="I324" s="60">
        <v>0.5</v>
      </c>
      <c r="J324" s="60">
        <f>10.6+51.8</f>
        <v>62.4</v>
      </c>
      <c r="K324" s="60">
        <f>6+3.2</f>
        <v>9.1999999999999993</v>
      </c>
      <c r="L324" s="60">
        <f>4.8+6.8</f>
        <v>11.6</v>
      </c>
      <c r="M324" s="60">
        <v>0.4</v>
      </c>
      <c r="N324" s="15" t="s">
        <v>55</v>
      </c>
    </row>
    <row r="325" spans="1:14" ht="20.100000000000001" customHeight="1">
      <c r="A325" s="162"/>
      <c r="B325" s="17">
        <v>0</v>
      </c>
      <c r="C325" s="42" t="s">
        <v>373</v>
      </c>
      <c r="D325" s="28"/>
      <c r="E325" s="69" t="s">
        <v>150</v>
      </c>
      <c r="F325" s="40">
        <f>20+28.5+40</f>
        <v>88.5</v>
      </c>
      <c r="G325" s="40">
        <f>4.8+6.8+9.6</f>
        <v>21.2</v>
      </c>
      <c r="H325" s="40">
        <v>0.3</v>
      </c>
      <c r="I325" s="40">
        <v>0</v>
      </c>
      <c r="J325" s="40">
        <f>0.3+1.2+1.8</f>
        <v>3.3</v>
      </c>
      <c r="K325" s="40">
        <f>0.3+1+1.8</f>
        <v>3.1</v>
      </c>
      <c r="L325" s="40">
        <f>0.7+0.6+0.4</f>
        <v>1.6999999999999997</v>
      </c>
      <c r="M325" s="40">
        <v>0</v>
      </c>
      <c r="N325" s="15" t="s">
        <v>55</v>
      </c>
    </row>
    <row r="326" spans="1:14" ht="20.100000000000001" customHeight="1">
      <c r="A326" s="162"/>
      <c r="B326" s="26">
        <v>0</v>
      </c>
      <c r="C326" s="36" t="str">
        <f>$C$10</f>
        <v>Sobremesa</v>
      </c>
      <c r="D326" s="28"/>
      <c r="E326" s="69" t="s">
        <v>38</v>
      </c>
      <c r="F326" s="40">
        <v>319.7</v>
      </c>
      <c r="G326" s="61">
        <v>76.400000000000006</v>
      </c>
      <c r="H326" s="61">
        <v>0.5</v>
      </c>
      <c r="I326" s="61">
        <v>0.2</v>
      </c>
      <c r="J326" s="61">
        <v>16.899999999999999</v>
      </c>
      <c r="K326" s="61">
        <v>16.7</v>
      </c>
      <c r="L326" s="61">
        <v>1.1000000000000001</v>
      </c>
      <c r="M326" s="61">
        <v>0</v>
      </c>
      <c r="N326" s="15" t="s">
        <v>55</v>
      </c>
    </row>
    <row r="327" spans="1:14" ht="20.100000000000001" customHeight="1">
      <c r="A327" s="162"/>
      <c r="B327" s="17">
        <v>0</v>
      </c>
      <c r="C327" s="36" t="str">
        <f>$C$11</f>
        <v>Pão</v>
      </c>
      <c r="D327" s="28"/>
      <c r="E327" s="70" t="s">
        <v>25</v>
      </c>
      <c r="F327" s="163" t="s">
        <v>95</v>
      </c>
      <c r="G327" s="164"/>
      <c r="H327" s="164"/>
      <c r="I327" s="164"/>
      <c r="J327" s="164"/>
      <c r="K327" s="164"/>
      <c r="L327" s="164"/>
      <c r="M327" s="165"/>
      <c r="N327" s="14"/>
    </row>
    <row r="328" spans="1:14" ht="123" customHeight="1">
      <c r="A328" s="166" t="str">
        <f>+A$40</f>
        <v xml:space="preserve">
A sua refeição contém ou pode conter as seguintes substâncias ou produtos e seus derivados: 1Cereais que contêm glúten, 2Crustáceos , 3Ovos, 4Peixes, 5Amendoins, 6Soja, 7Leite, 8Frutos de casca rija, 9Aipo, 10Mostarda, 11Sementes de sésamo, 12Dióxido de enxofre e sulfitos, 13Tremoço, 14Moluscos. 
Para quem não é alérgico ou intolerante, estas substâncias ou produtos são completamente inofensivas. 
Caso necessite informação adicional sobre os produtos em causa deve solicitar aos funcionários.
Declaração nutricional: valores médios de 100 g ou 100 ml, calculados a partir dos valores médios conhecidos dos ingredientes utilizados, segundo o Instituto Nacional de Saúde Dr. Ricardo Jorge, Tabela da Composição de Alimentos (2007), e a informação disponibilizada pelos fornecedores.
Legenda: VE - Valor energético, Líp. - Lípidos, AG Sat. - Ácidos Gordos Saturados, HC - Hidratos de Carbono, Prot. - Proteínas.
</v>
      </c>
      <c r="B328" s="167"/>
      <c r="C328" s="167"/>
      <c r="D328" s="167"/>
      <c r="E328" s="167"/>
      <c r="F328" s="167"/>
      <c r="G328" s="167"/>
      <c r="H328" s="167"/>
      <c r="I328" s="167"/>
      <c r="J328" s="167"/>
      <c r="K328" s="167"/>
      <c r="L328" s="167"/>
      <c r="M328" s="167"/>
      <c r="N328" s="5"/>
    </row>
    <row r="329" spans="1:14" ht="39.950000000000003" customHeight="1">
      <c r="B329" s="26">
        <v>0</v>
      </c>
      <c r="C329" s="63" t="s">
        <v>110</v>
      </c>
      <c r="D329" s="24"/>
      <c r="E329" s="72" t="s">
        <v>383</v>
      </c>
      <c r="F329" s="37"/>
      <c r="G329" s="37"/>
      <c r="H329" s="37"/>
      <c r="I329" s="37"/>
      <c r="J329" s="37"/>
      <c r="K329" s="37"/>
      <c r="L329" s="37"/>
      <c r="M329" s="37"/>
      <c r="N329" s="12"/>
    </row>
    <row r="330" spans="1:14" ht="20.100000000000001" customHeight="1" thickBot="1">
      <c r="B330" s="17">
        <v>0</v>
      </c>
      <c r="E330" s="68"/>
      <c r="F330" s="39" t="s">
        <v>87</v>
      </c>
      <c r="G330" s="39" t="s">
        <v>88</v>
      </c>
      <c r="H330" s="39" t="s">
        <v>89</v>
      </c>
      <c r="I330" s="39" t="s">
        <v>90</v>
      </c>
      <c r="J330" s="39" t="s">
        <v>91</v>
      </c>
      <c r="K330" s="39" t="s">
        <v>476</v>
      </c>
      <c r="L330" s="39" t="s">
        <v>477</v>
      </c>
      <c r="M330" s="39" t="s">
        <v>93</v>
      </c>
      <c r="N330" s="11"/>
    </row>
    <row r="331" spans="1:14" ht="20.100000000000001" customHeight="1" thickTop="1">
      <c r="A331" s="161" t="s">
        <v>16</v>
      </c>
      <c r="B331" s="26">
        <v>0</v>
      </c>
      <c r="C331" s="27" t="s">
        <v>17</v>
      </c>
      <c r="D331" s="28"/>
      <c r="E331" s="69" t="s">
        <v>452</v>
      </c>
      <c r="F331" s="40">
        <v>425.5</v>
      </c>
      <c r="G331" s="40">
        <v>101.7</v>
      </c>
      <c r="H331" s="40">
        <v>3.2</v>
      </c>
      <c r="I331" s="40">
        <v>0.4</v>
      </c>
      <c r="J331" s="40">
        <v>15.1</v>
      </c>
      <c r="K331" s="40">
        <v>3.9</v>
      </c>
      <c r="L331" s="40">
        <v>2.9</v>
      </c>
      <c r="M331" s="40">
        <v>0.2</v>
      </c>
      <c r="N331" s="41" t="s">
        <v>55</v>
      </c>
    </row>
    <row r="332" spans="1:14" ht="42" customHeight="1">
      <c r="A332" s="162"/>
      <c r="B332" s="17">
        <v>0</v>
      </c>
      <c r="C332" s="42" t="s">
        <v>18</v>
      </c>
      <c r="D332" s="28"/>
      <c r="E332" s="69" t="s">
        <v>420</v>
      </c>
      <c r="F332" s="60">
        <v>2183.9</v>
      </c>
      <c r="G332" s="40">
        <v>521.9</v>
      </c>
      <c r="H332" s="40">
        <v>1.1000000000000001</v>
      </c>
      <c r="I332" s="40">
        <v>0.5</v>
      </c>
      <c r="J332" s="40">
        <v>99.5</v>
      </c>
      <c r="K332" s="40">
        <v>8.8000000000000007</v>
      </c>
      <c r="L332" s="40">
        <v>25.6</v>
      </c>
      <c r="M332" s="40">
        <v>0.3</v>
      </c>
      <c r="N332" s="15" t="s">
        <v>55</v>
      </c>
    </row>
    <row r="333" spans="1:14" ht="28.5" customHeight="1">
      <c r="A333" s="162"/>
      <c r="B333" s="26">
        <v>0</v>
      </c>
      <c r="C333" s="42" t="s">
        <v>373</v>
      </c>
      <c r="D333" s="28"/>
      <c r="E333" s="69" t="s">
        <v>151</v>
      </c>
      <c r="F333" s="40">
        <f>30+22.4+40</f>
        <v>92.4</v>
      </c>
      <c r="G333" s="40">
        <f>7.2+7.7+9.6</f>
        <v>24.5</v>
      </c>
      <c r="H333" s="40">
        <v>0.2</v>
      </c>
      <c r="I333" s="40">
        <v>0</v>
      </c>
      <c r="J333" s="40">
        <f>1.4+1.8+1.8</f>
        <v>5</v>
      </c>
      <c r="K333" s="40">
        <f>1.4+1.6+1.8</f>
        <v>4.8</v>
      </c>
      <c r="L333" s="40">
        <f>0.4+0.2+0.4</f>
        <v>1</v>
      </c>
      <c r="M333" s="40">
        <v>0.2</v>
      </c>
      <c r="N333" s="15" t="s">
        <v>55</v>
      </c>
    </row>
    <row r="334" spans="1:14" ht="20.100000000000001" customHeight="1">
      <c r="A334" s="162"/>
      <c r="B334" s="17">
        <v>0</v>
      </c>
      <c r="C334" s="29" t="s">
        <v>19</v>
      </c>
      <c r="D334" s="28"/>
      <c r="E334" s="69" t="s">
        <v>38</v>
      </c>
      <c r="F334" s="40">
        <v>319.7</v>
      </c>
      <c r="G334" s="61">
        <v>76.400000000000006</v>
      </c>
      <c r="H334" s="61">
        <v>0.5</v>
      </c>
      <c r="I334" s="61">
        <v>0.2</v>
      </c>
      <c r="J334" s="61">
        <v>16.899999999999999</v>
      </c>
      <c r="K334" s="61">
        <v>16.7</v>
      </c>
      <c r="L334" s="61">
        <v>1.1000000000000001</v>
      </c>
      <c r="M334" s="61">
        <v>0</v>
      </c>
      <c r="N334" s="15" t="s">
        <v>55</v>
      </c>
    </row>
    <row r="335" spans="1:14" ht="20.100000000000001" customHeight="1">
      <c r="A335" s="162"/>
      <c r="B335" s="26">
        <v>0</v>
      </c>
      <c r="C335" s="29" t="s">
        <v>20</v>
      </c>
      <c r="D335" s="28"/>
      <c r="E335" s="69" t="s">
        <v>25</v>
      </c>
      <c r="F335" s="163" t="s">
        <v>95</v>
      </c>
      <c r="G335" s="164"/>
      <c r="H335" s="164"/>
      <c r="I335" s="164"/>
      <c r="J335" s="164"/>
      <c r="K335" s="164"/>
      <c r="L335" s="164"/>
      <c r="M335" s="165"/>
      <c r="N335" s="14"/>
    </row>
    <row r="336" spans="1:14" ht="20.100000000000001" customHeight="1">
      <c r="A336" s="30"/>
      <c r="B336" s="17">
        <v>0</v>
      </c>
      <c r="C336" s="31"/>
      <c r="D336" s="28"/>
      <c r="E336" s="71"/>
      <c r="F336" s="32"/>
      <c r="G336" s="32"/>
      <c r="H336" s="32"/>
      <c r="I336" s="32"/>
      <c r="J336" s="32"/>
      <c r="K336" s="32"/>
      <c r="L336" s="32"/>
      <c r="M336" s="32"/>
      <c r="N336" s="4"/>
    </row>
    <row r="337" spans="1:14" ht="20.100000000000001" customHeight="1" thickBot="1">
      <c r="A337" s="33"/>
      <c r="B337" s="26">
        <v>0</v>
      </c>
      <c r="C337" s="34"/>
      <c r="D337" s="28"/>
      <c r="E337" s="68"/>
      <c r="F337" s="39" t="s">
        <v>87</v>
      </c>
      <c r="G337" s="39" t="s">
        <v>88</v>
      </c>
      <c r="H337" s="39" t="s">
        <v>89</v>
      </c>
      <c r="I337" s="39" t="s">
        <v>90</v>
      </c>
      <c r="J337" s="39" t="s">
        <v>91</v>
      </c>
      <c r="K337" s="39" t="s">
        <v>476</v>
      </c>
      <c r="L337" s="39" t="s">
        <v>477</v>
      </c>
      <c r="M337" s="39" t="s">
        <v>93</v>
      </c>
      <c r="N337" s="11"/>
    </row>
    <row r="338" spans="1:14" ht="24" customHeight="1" thickTop="1">
      <c r="A338" s="161" t="s">
        <v>21</v>
      </c>
      <c r="B338" s="17">
        <v>0</v>
      </c>
      <c r="C338" s="35" t="str">
        <f>$C$7</f>
        <v>Sopa</v>
      </c>
      <c r="D338" s="28"/>
      <c r="E338" s="69" t="s">
        <v>27</v>
      </c>
      <c r="F338" s="40">
        <v>470.2</v>
      </c>
      <c r="G338" s="40">
        <v>112.4</v>
      </c>
      <c r="H338" s="40">
        <v>3.3</v>
      </c>
      <c r="I338" s="40">
        <v>0.5</v>
      </c>
      <c r="J338" s="40">
        <v>17.2</v>
      </c>
      <c r="K338" s="40">
        <v>5.6</v>
      </c>
      <c r="L338" s="40">
        <v>3.3</v>
      </c>
      <c r="M338" s="40">
        <v>0.2</v>
      </c>
      <c r="N338" s="41" t="s">
        <v>55</v>
      </c>
    </row>
    <row r="339" spans="1:14" ht="39" customHeight="1">
      <c r="A339" s="162"/>
      <c r="B339" s="26">
        <v>0</v>
      </c>
      <c r="C339" s="42" t="s">
        <v>18</v>
      </c>
      <c r="D339" s="28"/>
      <c r="E339" s="69" t="s">
        <v>463</v>
      </c>
      <c r="F339" s="60">
        <v>1453.6</v>
      </c>
      <c r="G339" s="40">
        <v>347.4</v>
      </c>
      <c r="H339" s="40">
        <v>4.8</v>
      </c>
      <c r="I339" s="40">
        <v>0.8</v>
      </c>
      <c r="J339" s="40">
        <v>61.9</v>
      </c>
      <c r="K339" s="40">
        <v>7</v>
      </c>
      <c r="L339" s="40">
        <v>12.8</v>
      </c>
      <c r="M339" s="40">
        <v>0.2</v>
      </c>
      <c r="N339" s="15" t="s">
        <v>55</v>
      </c>
    </row>
    <row r="340" spans="1:14" ht="20.100000000000001" customHeight="1">
      <c r="A340" s="162"/>
      <c r="B340" s="17">
        <v>0</v>
      </c>
      <c r="C340" s="42" t="s">
        <v>373</v>
      </c>
      <c r="D340" s="28"/>
      <c r="E340" s="69" t="s">
        <v>146</v>
      </c>
      <c r="F340" s="40">
        <f>32.4+28.5+40</f>
        <v>100.9</v>
      </c>
      <c r="G340" s="40">
        <f>7.7+6.8+9.6</f>
        <v>24.1</v>
      </c>
      <c r="H340" s="40">
        <v>0.2</v>
      </c>
      <c r="I340" s="40">
        <v>0</v>
      </c>
      <c r="J340" s="40">
        <f>1.8+1.2+1.8</f>
        <v>4.8</v>
      </c>
      <c r="K340" s="40">
        <f>1.6+1+1.8</f>
        <v>4.4000000000000004</v>
      </c>
      <c r="L340" s="40">
        <f>0.2+0.6+0.4</f>
        <v>1.2000000000000002</v>
      </c>
      <c r="M340" s="40">
        <v>0.1</v>
      </c>
      <c r="N340" s="15" t="s">
        <v>55</v>
      </c>
    </row>
    <row r="341" spans="1:14" ht="24" customHeight="1">
      <c r="A341" s="162"/>
      <c r="B341" s="26">
        <v>0</v>
      </c>
      <c r="C341" s="36" t="str">
        <f>$C$10</f>
        <v>Sobremesa</v>
      </c>
      <c r="D341" s="28"/>
      <c r="E341" s="69" t="s">
        <v>38</v>
      </c>
      <c r="F341" s="40">
        <v>319.7</v>
      </c>
      <c r="G341" s="61">
        <v>76.400000000000006</v>
      </c>
      <c r="H341" s="61">
        <v>0.5</v>
      </c>
      <c r="I341" s="61">
        <v>0.2</v>
      </c>
      <c r="J341" s="61">
        <v>16.899999999999999</v>
      </c>
      <c r="K341" s="61">
        <v>16.7</v>
      </c>
      <c r="L341" s="61">
        <v>1.1000000000000001</v>
      </c>
      <c r="M341" s="61">
        <v>0</v>
      </c>
      <c r="N341" s="15" t="s">
        <v>55</v>
      </c>
    </row>
    <row r="342" spans="1:14" ht="20.100000000000001" customHeight="1">
      <c r="A342" s="162"/>
      <c r="B342" s="17">
        <v>0</v>
      </c>
      <c r="C342" s="36" t="str">
        <f>$C$11</f>
        <v>Pão</v>
      </c>
      <c r="D342" s="28"/>
      <c r="E342" s="70" t="s">
        <v>25</v>
      </c>
      <c r="F342" s="163" t="s">
        <v>95</v>
      </c>
      <c r="G342" s="164"/>
      <c r="H342" s="164"/>
      <c r="I342" s="164"/>
      <c r="J342" s="164"/>
      <c r="K342" s="164"/>
      <c r="L342" s="164"/>
      <c r="M342" s="165"/>
      <c r="N342" s="14"/>
    </row>
    <row r="343" spans="1:14" ht="20.100000000000001" customHeight="1">
      <c r="A343" s="30"/>
      <c r="B343" s="26">
        <v>0</v>
      </c>
      <c r="C343" s="31"/>
      <c r="D343" s="28"/>
      <c r="E343" s="71"/>
      <c r="F343" s="32"/>
      <c r="G343" s="32"/>
      <c r="H343" s="32"/>
      <c r="I343" s="32"/>
      <c r="J343" s="32"/>
      <c r="K343" s="32"/>
      <c r="L343" s="32"/>
      <c r="M343" s="32"/>
      <c r="N343" s="4"/>
    </row>
    <row r="344" spans="1:14" ht="20.100000000000001" customHeight="1" thickBot="1">
      <c r="A344" s="33"/>
      <c r="B344" s="17">
        <v>0</v>
      </c>
      <c r="C344" s="34"/>
      <c r="D344" s="28"/>
      <c r="E344" s="68"/>
      <c r="F344" s="39" t="s">
        <v>87</v>
      </c>
      <c r="G344" s="39" t="s">
        <v>88</v>
      </c>
      <c r="H344" s="39" t="s">
        <v>89</v>
      </c>
      <c r="I344" s="39" t="s">
        <v>90</v>
      </c>
      <c r="J344" s="39" t="s">
        <v>91</v>
      </c>
      <c r="K344" s="39" t="s">
        <v>476</v>
      </c>
      <c r="L344" s="39" t="s">
        <v>477</v>
      </c>
      <c r="M344" s="39" t="s">
        <v>93</v>
      </c>
      <c r="N344" s="11"/>
    </row>
    <row r="345" spans="1:14" ht="20.100000000000001" customHeight="1" thickTop="1">
      <c r="A345" s="161" t="s">
        <v>22</v>
      </c>
      <c r="B345" s="26">
        <v>0</v>
      </c>
      <c r="C345" s="35" t="str">
        <f>$C$7</f>
        <v>Sopa</v>
      </c>
      <c r="D345" s="28"/>
      <c r="E345" s="69" t="s">
        <v>32</v>
      </c>
      <c r="F345" s="40">
        <v>907.6</v>
      </c>
      <c r="G345" s="40">
        <v>216.9</v>
      </c>
      <c r="H345" s="40">
        <v>3.8</v>
      </c>
      <c r="I345" s="40">
        <v>0.6</v>
      </c>
      <c r="J345" s="40">
        <v>33.299999999999997</v>
      </c>
      <c r="K345" s="40">
        <v>6.1</v>
      </c>
      <c r="L345" s="40">
        <v>11.7</v>
      </c>
      <c r="M345" s="40">
        <v>0.2</v>
      </c>
      <c r="N345" s="41" t="s">
        <v>55</v>
      </c>
    </row>
    <row r="346" spans="1:14" ht="39.75" customHeight="1">
      <c r="A346" s="162"/>
      <c r="B346" s="17">
        <v>0</v>
      </c>
      <c r="C346" s="42" t="s">
        <v>18</v>
      </c>
      <c r="D346" s="28"/>
      <c r="E346" s="78" t="s">
        <v>464</v>
      </c>
      <c r="F346" s="60">
        <f>1300.2+951.4</f>
        <v>2251.6</v>
      </c>
      <c r="G346" s="40">
        <f>227.4+310.7</f>
        <v>538.1</v>
      </c>
      <c r="H346" s="40">
        <f>4.3+3.3</f>
        <v>7.6</v>
      </c>
      <c r="I346" s="40">
        <f>0.7+0.5</f>
        <v>1.2</v>
      </c>
      <c r="J346" s="40">
        <f>30.4+62.8</f>
        <v>93.199999999999989</v>
      </c>
      <c r="K346" s="40">
        <f>5.9+0.2</f>
        <v>6.1000000000000005</v>
      </c>
      <c r="L346" s="40">
        <f>16.4+5.5</f>
        <v>21.9</v>
      </c>
      <c r="M346" s="40">
        <v>0.3</v>
      </c>
      <c r="N346" s="15" t="s">
        <v>55</v>
      </c>
    </row>
    <row r="347" spans="1:14" ht="20.100000000000001" customHeight="1">
      <c r="A347" s="162"/>
      <c r="B347" s="26">
        <v>0</v>
      </c>
      <c r="C347" s="42" t="s">
        <v>373</v>
      </c>
      <c r="D347" s="28"/>
      <c r="E347" s="69" t="s">
        <v>152</v>
      </c>
      <c r="F347" s="40">
        <f>20+32.4+163.3</f>
        <v>215.70000000000002</v>
      </c>
      <c r="G347" s="40">
        <f>4.8+7.7+39.2</f>
        <v>51.7</v>
      </c>
      <c r="H347" s="40">
        <v>0.6</v>
      </c>
      <c r="I347" s="40">
        <v>0</v>
      </c>
      <c r="J347" s="40">
        <f>0.3+1.8+7.1</f>
        <v>9.1999999999999993</v>
      </c>
      <c r="K347" s="40">
        <f>0.3+1.6</f>
        <v>1.9000000000000001</v>
      </c>
      <c r="L347" s="40">
        <f>0.7+0.2+1.5</f>
        <v>2.4</v>
      </c>
      <c r="M347" s="40">
        <v>0.1</v>
      </c>
      <c r="N347" s="15" t="s">
        <v>55</v>
      </c>
    </row>
    <row r="348" spans="1:14" ht="20.100000000000001" customHeight="1">
      <c r="A348" s="162"/>
      <c r="B348" s="17">
        <v>0</v>
      </c>
      <c r="C348" s="36" t="str">
        <f>$C$10</f>
        <v>Sobremesa</v>
      </c>
      <c r="D348" s="28"/>
      <c r="E348" s="69" t="s">
        <v>123</v>
      </c>
      <c r="F348" s="40" t="s">
        <v>478</v>
      </c>
      <c r="G348" s="61" t="s">
        <v>479</v>
      </c>
      <c r="H348" s="61" t="s">
        <v>480</v>
      </c>
      <c r="I348" s="61" t="s">
        <v>481</v>
      </c>
      <c r="J348" s="61" t="s">
        <v>482</v>
      </c>
      <c r="K348" s="61" t="s">
        <v>483</v>
      </c>
      <c r="L348" s="61" t="s">
        <v>484</v>
      </c>
      <c r="M348" s="61" t="s">
        <v>485</v>
      </c>
      <c r="N348" s="15" t="s">
        <v>55</v>
      </c>
    </row>
    <row r="349" spans="1:14" ht="20.100000000000001" customHeight="1">
      <c r="A349" s="162"/>
      <c r="B349" s="26">
        <v>0</v>
      </c>
      <c r="C349" s="36" t="str">
        <f>$C$11</f>
        <v>Pão</v>
      </c>
      <c r="D349" s="28"/>
      <c r="E349" s="70" t="s">
        <v>25</v>
      </c>
      <c r="F349" s="163" t="s">
        <v>95</v>
      </c>
      <c r="G349" s="164"/>
      <c r="H349" s="164"/>
      <c r="I349" s="164"/>
      <c r="J349" s="164"/>
      <c r="K349" s="164"/>
      <c r="L349" s="164"/>
      <c r="M349" s="165"/>
      <c r="N349" s="14"/>
    </row>
    <row r="350" spans="1:14" ht="20.100000000000001" customHeight="1">
      <c r="A350" s="30"/>
      <c r="B350" s="17">
        <v>0</v>
      </c>
      <c r="C350" s="31"/>
      <c r="D350" s="28"/>
      <c r="E350" s="71"/>
      <c r="F350" s="32"/>
      <c r="G350" s="32"/>
      <c r="H350" s="32"/>
      <c r="I350" s="32"/>
      <c r="J350" s="32"/>
      <c r="K350" s="32"/>
      <c r="L350" s="32"/>
      <c r="M350" s="32"/>
      <c r="N350" s="4"/>
    </row>
    <row r="351" spans="1:14" ht="20.100000000000001" customHeight="1" thickBot="1">
      <c r="A351" s="33"/>
      <c r="B351" s="26">
        <v>0</v>
      </c>
      <c r="C351" s="34"/>
      <c r="D351" s="28"/>
      <c r="E351" s="68"/>
      <c r="F351" s="39" t="s">
        <v>87</v>
      </c>
      <c r="G351" s="39" t="s">
        <v>88</v>
      </c>
      <c r="H351" s="39" t="s">
        <v>89</v>
      </c>
      <c r="I351" s="39" t="s">
        <v>90</v>
      </c>
      <c r="J351" s="39" t="s">
        <v>91</v>
      </c>
      <c r="K351" s="39" t="s">
        <v>476</v>
      </c>
      <c r="L351" s="39" t="s">
        <v>477</v>
      </c>
      <c r="M351" s="39" t="s">
        <v>93</v>
      </c>
      <c r="N351" s="11"/>
    </row>
    <row r="352" spans="1:14" ht="20.100000000000001" customHeight="1" thickTop="1">
      <c r="A352" s="161" t="s">
        <v>23</v>
      </c>
      <c r="B352" s="17">
        <v>0</v>
      </c>
      <c r="C352" s="35" t="str">
        <f>$C$7</f>
        <v>Sopa</v>
      </c>
      <c r="D352" s="28"/>
      <c r="E352" s="69" t="s">
        <v>153</v>
      </c>
      <c r="F352" s="40">
        <v>427.8</v>
      </c>
      <c r="G352" s="40">
        <v>102.2</v>
      </c>
      <c r="H352" s="40">
        <v>3.6</v>
      </c>
      <c r="I352" s="40">
        <v>0.5</v>
      </c>
      <c r="J352" s="40">
        <v>13.5</v>
      </c>
      <c r="K352" s="40">
        <v>5.8</v>
      </c>
      <c r="L352" s="40">
        <v>4</v>
      </c>
      <c r="M352" s="40">
        <v>0.2</v>
      </c>
      <c r="N352" s="15" t="s">
        <v>55</v>
      </c>
    </row>
    <row r="353" spans="1:14" ht="42" customHeight="1">
      <c r="A353" s="162"/>
      <c r="B353" s="26">
        <v>0</v>
      </c>
      <c r="C353" s="42" t="s">
        <v>18</v>
      </c>
      <c r="D353" s="28"/>
      <c r="E353" s="69" t="s">
        <v>421</v>
      </c>
      <c r="F353" s="40">
        <v>1615.6</v>
      </c>
      <c r="G353" s="40">
        <v>386.1</v>
      </c>
      <c r="H353" s="40">
        <v>5.0999999999999996</v>
      </c>
      <c r="I353" s="40">
        <v>0.9</v>
      </c>
      <c r="J353" s="40">
        <v>67.400000000000006</v>
      </c>
      <c r="K353" s="40">
        <v>9.1999999999999993</v>
      </c>
      <c r="L353" s="40">
        <v>16.2</v>
      </c>
      <c r="M353" s="40">
        <v>0.3</v>
      </c>
      <c r="N353" s="15" t="s">
        <v>55</v>
      </c>
    </row>
    <row r="354" spans="1:14" ht="20.100000000000001" customHeight="1">
      <c r="A354" s="162"/>
      <c r="B354" s="17">
        <v>0</v>
      </c>
      <c r="C354" s="42" t="s">
        <v>373</v>
      </c>
      <c r="D354" s="28"/>
      <c r="E354" s="69" t="s">
        <v>114</v>
      </c>
      <c r="F354" s="40">
        <f>20+25.6+40</f>
        <v>85.6</v>
      </c>
      <c r="G354" s="40">
        <f>4.8+6.1+9.6</f>
        <v>20.5</v>
      </c>
      <c r="H354" s="40">
        <f>0.1+0.2+0.2</f>
        <v>0.5</v>
      </c>
      <c r="I354" s="40">
        <v>0.1</v>
      </c>
      <c r="J354" s="40">
        <f>0.3+0.6+1.8</f>
        <v>2.7</v>
      </c>
      <c r="K354" s="40">
        <f>0.3+0.6+1.8</f>
        <v>2.7</v>
      </c>
      <c r="L354" s="40">
        <f>0.7+0.5+0.4</f>
        <v>1.6</v>
      </c>
      <c r="M354" s="40">
        <v>0</v>
      </c>
      <c r="N354" s="15" t="s">
        <v>55</v>
      </c>
    </row>
    <row r="355" spans="1:14" ht="20.100000000000001" customHeight="1">
      <c r="A355" s="162"/>
      <c r="B355" s="26">
        <v>0</v>
      </c>
      <c r="C355" s="36" t="str">
        <f>$C$10</f>
        <v>Sobremesa</v>
      </c>
      <c r="D355" s="28"/>
      <c r="E355" s="69" t="s">
        <v>26</v>
      </c>
      <c r="F355" s="40">
        <v>319.7</v>
      </c>
      <c r="G355" s="61">
        <v>76.400000000000006</v>
      </c>
      <c r="H355" s="61">
        <v>0.5</v>
      </c>
      <c r="I355" s="61">
        <v>0.2</v>
      </c>
      <c r="J355" s="61">
        <v>16.899999999999999</v>
      </c>
      <c r="K355" s="61">
        <v>16.7</v>
      </c>
      <c r="L355" s="61">
        <v>1.1000000000000001</v>
      </c>
      <c r="M355" s="61">
        <v>0</v>
      </c>
      <c r="N355" s="15" t="s">
        <v>55</v>
      </c>
    </row>
    <row r="356" spans="1:14" ht="20.100000000000001" customHeight="1">
      <c r="A356" s="162"/>
      <c r="B356" s="17">
        <v>0</v>
      </c>
      <c r="C356" s="36" t="str">
        <f>$C$11</f>
        <v>Pão</v>
      </c>
      <c r="D356" s="28"/>
      <c r="E356" s="70" t="s">
        <v>25</v>
      </c>
      <c r="F356" s="163" t="s">
        <v>95</v>
      </c>
      <c r="G356" s="164"/>
      <c r="H356" s="164"/>
      <c r="I356" s="164"/>
      <c r="J356" s="164"/>
      <c r="K356" s="164"/>
      <c r="L356" s="164"/>
      <c r="M356" s="165"/>
      <c r="N356" s="14"/>
    </row>
    <row r="357" spans="1:14" ht="20.100000000000001" customHeight="1">
      <c r="A357" s="30"/>
      <c r="B357" s="26">
        <v>0</v>
      </c>
      <c r="C357" s="31"/>
      <c r="D357" s="28"/>
      <c r="E357" s="71"/>
      <c r="F357" s="32"/>
      <c r="G357" s="32"/>
      <c r="H357" s="32"/>
      <c r="I357" s="32"/>
      <c r="J357" s="32"/>
      <c r="K357" s="32"/>
      <c r="L357" s="32"/>
      <c r="M357" s="32"/>
      <c r="N357" s="4"/>
    </row>
    <row r="358" spans="1:14" ht="20.100000000000001" customHeight="1" thickBot="1">
      <c r="A358" s="33"/>
      <c r="B358" s="17">
        <v>0</v>
      </c>
      <c r="C358" s="34"/>
      <c r="D358" s="28"/>
      <c r="E358" s="68"/>
      <c r="F358" s="39" t="s">
        <v>87</v>
      </c>
      <c r="G358" s="39" t="s">
        <v>88</v>
      </c>
      <c r="H358" s="39" t="s">
        <v>89</v>
      </c>
      <c r="I358" s="39" t="s">
        <v>90</v>
      </c>
      <c r="J358" s="39" t="s">
        <v>91</v>
      </c>
      <c r="K358" s="39" t="s">
        <v>476</v>
      </c>
      <c r="L358" s="39" t="s">
        <v>477</v>
      </c>
      <c r="M358" s="39" t="s">
        <v>93</v>
      </c>
      <c r="N358" s="11"/>
    </row>
    <row r="359" spans="1:14" ht="20.100000000000001" customHeight="1" thickTop="1">
      <c r="A359" s="161" t="s">
        <v>24</v>
      </c>
      <c r="B359" s="26">
        <v>0</v>
      </c>
      <c r="C359" s="35" t="str">
        <f>$C$7</f>
        <v>Sopa</v>
      </c>
      <c r="D359" s="28"/>
      <c r="E359" s="69" t="s">
        <v>453</v>
      </c>
      <c r="F359" s="40">
        <v>438.9</v>
      </c>
      <c r="G359" s="40">
        <v>104.9</v>
      </c>
      <c r="H359" s="40">
        <v>3.3</v>
      </c>
      <c r="I359" s="40">
        <v>0.5</v>
      </c>
      <c r="J359" s="40">
        <v>15.4</v>
      </c>
      <c r="K359" s="40">
        <v>4.0999999999999996</v>
      </c>
      <c r="L359" s="40">
        <v>3.2</v>
      </c>
      <c r="M359" s="40">
        <v>0.2</v>
      </c>
      <c r="N359" s="15" t="s">
        <v>55</v>
      </c>
    </row>
    <row r="360" spans="1:14" ht="25.5" customHeight="1">
      <c r="A360" s="162"/>
      <c r="B360" s="17">
        <v>0</v>
      </c>
      <c r="C360" s="42" t="s">
        <v>18</v>
      </c>
      <c r="D360" s="28"/>
      <c r="E360" s="69" t="s">
        <v>575</v>
      </c>
      <c r="F360" s="60">
        <v>469.3</v>
      </c>
      <c r="G360" s="40">
        <v>112.2</v>
      </c>
      <c r="H360" s="40">
        <v>3.2</v>
      </c>
      <c r="I360" s="40">
        <v>0.5</v>
      </c>
      <c r="J360" s="40">
        <v>13.9</v>
      </c>
      <c r="K360" s="40">
        <v>2.1</v>
      </c>
      <c r="L360" s="40">
        <v>6.7</v>
      </c>
      <c r="M360" s="40">
        <v>0.1</v>
      </c>
      <c r="N360" s="15" t="s">
        <v>55</v>
      </c>
    </row>
    <row r="361" spans="1:14" ht="20.100000000000001" customHeight="1">
      <c r="A361" s="162"/>
      <c r="B361" s="26">
        <v>0</v>
      </c>
      <c r="C361" s="42" t="s">
        <v>373</v>
      </c>
      <c r="D361" s="28"/>
      <c r="E361" s="69" t="s">
        <v>154</v>
      </c>
      <c r="F361" s="40">
        <f>20+163.3+23</f>
        <v>206.3</v>
      </c>
      <c r="G361" s="40">
        <f>4.8+39.2+5.5</f>
        <v>49.5</v>
      </c>
      <c r="H361" s="40">
        <v>0.8</v>
      </c>
      <c r="I361" s="40">
        <v>0</v>
      </c>
      <c r="J361" s="40">
        <f>0.3+7.1+0.7</f>
        <v>8.1</v>
      </c>
      <c r="K361" s="40">
        <f>0.3+0.6</f>
        <v>0.89999999999999991</v>
      </c>
      <c r="L361" s="40">
        <f>0.7+1.5+0.4</f>
        <v>2.6</v>
      </c>
      <c r="M361" s="40">
        <v>0</v>
      </c>
      <c r="N361" s="15" t="s">
        <v>55</v>
      </c>
    </row>
    <row r="362" spans="1:14" ht="20.100000000000001" customHeight="1">
      <c r="A362" s="162"/>
      <c r="B362" s="17">
        <v>0</v>
      </c>
      <c r="C362" s="36" t="str">
        <f>$C$10</f>
        <v>Sobremesa</v>
      </c>
      <c r="D362" s="28"/>
      <c r="E362" s="69" t="s">
        <v>38</v>
      </c>
      <c r="F362" s="40">
        <v>319.7</v>
      </c>
      <c r="G362" s="61">
        <v>76.400000000000006</v>
      </c>
      <c r="H362" s="61">
        <v>0.5</v>
      </c>
      <c r="I362" s="61">
        <v>0.2</v>
      </c>
      <c r="J362" s="61">
        <v>16.899999999999999</v>
      </c>
      <c r="K362" s="61">
        <v>16.7</v>
      </c>
      <c r="L362" s="61">
        <v>1.1000000000000001</v>
      </c>
      <c r="M362" s="61">
        <v>0</v>
      </c>
      <c r="N362" s="15" t="s">
        <v>55</v>
      </c>
    </row>
    <row r="363" spans="1:14" ht="20.100000000000001" customHeight="1">
      <c r="A363" s="162"/>
      <c r="B363" s="26">
        <v>0</v>
      </c>
      <c r="C363" s="36" t="str">
        <f>$C$11</f>
        <v>Pão</v>
      </c>
      <c r="D363" s="28"/>
      <c r="E363" s="70" t="s">
        <v>25</v>
      </c>
      <c r="F363" s="163" t="s">
        <v>95</v>
      </c>
      <c r="G363" s="164"/>
      <c r="H363" s="164"/>
      <c r="I363" s="164"/>
      <c r="J363" s="164"/>
      <c r="K363" s="164"/>
      <c r="L363" s="164"/>
      <c r="M363" s="165"/>
      <c r="N363" s="14"/>
    </row>
    <row r="364" spans="1:14" ht="123" customHeight="1">
      <c r="A364" s="166" t="str">
        <f>+A$40</f>
        <v xml:space="preserve">
A sua refeição contém ou pode conter as seguintes substâncias ou produtos e seus derivados: 1Cereais que contêm glúten, 2Crustáceos , 3Ovos, 4Peixes, 5Amendoins, 6Soja, 7Leite, 8Frutos de casca rija, 9Aipo, 10Mostarda, 11Sementes de sésamo, 12Dióxido de enxofre e sulfitos, 13Tremoço, 14Moluscos. 
Para quem não é alérgico ou intolerante, estas substâncias ou produtos são completamente inofensivas. 
Caso necessite informação adicional sobre os produtos em causa deve solicitar aos funcionários.
Declaração nutricional: valores médios de 100 g ou 100 ml, calculados a partir dos valores médios conhecidos dos ingredientes utilizados, segundo o Instituto Nacional de Saúde Dr. Ricardo Jorge, Tabela da Composição de Alimentos (2007), e a informação disponibilizada pelos fornecedores.
Legenda: VE - Valor energético, Líp. - Lípidos, AG Sat. - Ácidos Gordos Saturados, HC - Hidratos de Carbono, Prot. - Proteínas.
</v>
      </c>
      <c r="B364" s="167"/>
      <c r="C364" s="167"/>
      <c r="D364" s="167"/>
      <c r="E364" s="167"/>
      <c r="F364" s="167"/>
      <c r="G364" s="167"/>
      <c r="H364" s="167"/>
      <c r="I364" s="167"/>
      <c r="J364" s="167"/>
      <c r="K364" s="167"/>
      <c r="L364" s="167"/>
      <c r="M364" s="167"/>
      <c r="N364" s="5"/>
    </row>
    <row r="365" spans="1:14" ht="41.25" hidden="1" customHeight="1" thickTop="1">
      <c r="E365" s="65"/>
      <c r="F365" s="19"/>
      <c r="G365" s="19"/>
      <c r="H365" s="19"/>
      <c r="I365" s="19"/>
      <c r="J365" s="19"/>
      <c r="K365" s="19"/>
      <c r="L365" s="19"/>
      <c r="M365" s="19"/>
      <c r="N365" s="8"/>
    </row>
    <row r="366" spans="1:14" ht="12.75" hidden="1" customHeight="1">
      <c r="A366" s="20">
        <v>0</v>
      </c>
      <c r="B366" s="21">
        <v>0</v>
      </c>
      <c r="C366" s="21">
        <v>0</v>
      </c>
      <c r="D366" s="17">
        <v>0</v>
      </c>
      <c r="E366" s="65">
        <v>0</v>
      </c>
      <c r="F366" s="22"/>
      <c r="G366" s="22"/>
      <c r="H366" s="22"/>
      <c r="I366" s="22"/>
      <c r="J366" s="22"/>
      <c r="K366" s="22"/>
      <c r="L366" s="22"/>
      <c r="M366" s="22"/>
      <c r="N366" s="9"/>
    </row>
    <row r="367" spans="1:14" ht="20.100000000000001" hidden="1" customHeight="1">
      <c r="B367" s="17">
        <v>0</v>
      </c>
      <c r="C367" s="23" t="s">
        <v>85</v>
      </c>
      <c r="D367" s="24"/>
      <c r="E367" s="67"/>
      <c r="F367" s="25"/>
      <c r="G367" s="25"/>
      <c r="H367" s="25"/>
      <c r="I367" s="25"/>
      <c r="J367" s="25"/>
      <c r="K367" s="25"/>
      <c r="L367" s="25"/>
      <c r="M367" s="25"/>
      <c r="N367" s="2"/>
    </row>
    <row r="368" spans="1:14" ht="20.100000000000001" hidden="1" customHeight="1">
      <c r="B368" s="17">
        <v>0</v>
      </c>
      <c r="E368" s="68"/>
      <c r="F368" s="39" t="s">
        <v>87</v>
      </c>
      <c r="G368" s="39" t="s">
        <v>88</v>
      </c>
      <c r="H368" s="39" t="s">
        <v>89</v>
      </c>
      <c r="I368" s="39" t="s">
        <v>90</v>
      </c>
      <c r="J368" s="39" t="s">
        <v>91</v>
      </c>
      <c r="K368" s="39" t="s">
        <v>92</v>
      </c>
      <c r="L368" s="39" t="s">
        <v>93</v>
      </c>
      <c r="M368" s="39" t="s">
        <v>93</v>
      </c>
      <c r="N368" s="2"/>
    </row>
    <row r="369" spans="1:14" ht="20.100000000000001" hidden="1" customHeight="1">
      <c r="A369" s="161" t="s">
        <v>16</v>
      </c>
      <c r="B369" s="26">
        <v>0</v>
      </c>
      <c r="C369" s="27" t="s">
        <v>17</v>
      </c>
      <c r="D369" s="28"/>
      <c r="E369" s="69"/>
      <c r="F369" s="40"/>
      <c r="G369" s="40"/>
      <c r="H369" s="40"/>
      <c r="I369" s="40"/>
      <c r="J369" s="40"/>
      <c r="K369" s="40"/>
      <c r="L369" s="40"/>
      <c r="M369" s="40"/>
      <c r="N369" s="10"/>
    </row>
    <row r="370" spans="1:14" ht="18" hidden="1">
      <c r="A370" s="170"/>
      <c r="B370" s="17">
        <v>0</v>
      </c>
      <c r="C370" s="171" t="s">
        <v>86</v>
      </c>
      <c r="D370" s="28"/>
      <c r="E370" s="69"/>
      <c r="F370" s="168"/>
      <c r="G370" s="168"/>
      <c r="H370" s="168"/>
      <c r="I370" s="168"/>
      <c r="J370" s="168"/>
      <c r="K370" s="168"/>
      <c r="L370" s="168"/>
      <c r="M370" s="168"/>
      <c r="N370" s="10"/>
    </row>
    <row r="371" spans="1:14" ht="20.100000000000001" hidden="1" customHeight="1" thickBot="1">
      <c r="A371" s="170"/>
      <c r="B371" s="26">
        <v>0</v>
      </c>
      <c r="C371" s="171"/>
      <c r="D371" s="28"/>
      <c r="E371" s="69"/>
      <c r="F371" s="169"/>
      <c r="G371" s="169"/>
      <c r="H371" s="169"/>
      <c r="I371" s="169"/>
      <c r="J371" s="169"/>
      <c r="K371" s="169"/>
      <c r="L371" s="169"/>
      <c r="M371" s="169"/>
      <c r="N371" s="10"/>
    </row>
    <row r="372" spans="1:14" ht="20.100000000000001" hidden="1" customHeight="1" thickTop="1">
      <c r="A372" s="170"/>
      <c r="B372" s="17">
        <v>0</v>
      </c>
      <c r="C372" s="29" t="s">
        <v>19</v>
      </c>
      <c r="D372" s="28"/>
      <c r="E372" s="69"/>
      <c r="F372" s="40"/>
      <c r="G372" s="40"/>
      <c r="H372" s="40"/>
      <c r="I372" s="40"/>
      <c r="J372" s="40"/>
      <c r="K372" s="40"/>
      <c r="L372" s="40"/>
      <c r="M372" s="40"/>
      <c r="N372" s="10"/>
    </row>
    <row r="373" spans="1:14" ht="20.100000000000001" hidden="1" customHeight="1">
      <c r="A373" s="170"/>
      <c r="B373" s="26">
        <v>0</v>
      </c>
      <c r="C373" s="29" t="s">
        <v>20</v>
      </c>
      <c r="D373" s="28"/>
      <c r="E373" s="70"/>
      <c r="F373" s="163"/>
      <c r="G373" s="164"/>
      <c r="H373" s="164"/>
      <c r="I373" s="164"/>
      <c r="J373" s="164"/>
      <c r="K373" s="164"/>
      <c r="L373" s="164"/>
      <c r="M373" s="165"/>
      <c r="N373" s="10"/>
    </row>
    <row r="374" spans="1:14" ht="20.100000000000001" hidden="1" customHeight="1">
      <c r="A374" s="30"/>
      <c r="B374" s="17">
        <v>0</v>
      </c>
      <c r="C374" s="31">
        <v>0</v>
      </c>
      <c r="D374" s="28"/>
      <c r="E374" s="71"/>
      <c r="F374" s="32"/>
      <c r="G374" s="32"/>
      <c r="H374" s="32"/>
      <c r="I374" s="32"/>
      <c r="J374" s="32"/>
      <c r="K374" s="32"/>
      <c r="L374" s="32"/>
      <c r="M374" s="32"/>
      <c r="N374" s="10"/>
    </row>
    <row r="375" spans="1:14" ht="20.100000000000001" hidden="1" customHeight="1">
      <c r="A375" s="33"/>
      <c r="B375" s="26">
        <v>0</v>
      </c>
      <c r="C375" s="34"/>
      <c r="D375" s="28"/>
      <c r="E375" s="68"/>
      <c r="F375" s="39" t="s">
        <v>87</v>
      </c>
      <c r="G375" s="39" t="s">
        <v>88</v>
      </c>
      <c r="H375" s="39" t="s">
        <v>89</v>
      </c>
      <c r="I375" s="39" t="s">
        <v>90</v>
      </c>
      <c r="J375" s="39" t="s">
        <v>91</v>
      </c>
      <c r="K375" s="39" t="s">
        <v>92</v>
      </c>
      <c r="L375" s="39" t="s">
        <v>93</v>
      </c>
      <c r="M375" s="39" t="s">
        <v>93</v>
      </c>
      <c r="N375" s="10"/>
    </row>
    <row r="376" spans="1:14" ht="20.100000000000001" hidden="1" customHeight="1">
      <c r="A376" s="161" t="s">
        <v>21</v>
      </c>
      <c r="B376" s="17">
        <v>0</v>
      </c>
      <c r="C376" s="35" t="str">
        <f>$C$7</f>
        <v>Sopa</v>
      </c>
      <c r="D376" s="28"/>
      <c r="E376" s="69"/>
      <c r="F376" s="40"/>
      <c r="G376" s="40"/>
      <c r="H376" s="40"/>
      <c r="I376" s="40"/>
      <c r="J376" s="40"/>
      <c r="K376" s="40"/>
      <c r="L376" s="40"/>
      <c r="M376" s="40"/>
      <c r="N376" s="10"/>
    </row>
    <row r="377" spans="1:14" ht="20.100000000000001" hidden="1" customHeight="1">
      <c r="A377" s="170"/>
      <c r="B377" s="26">
        <v>0</v>
      </c>
      <c r="C377" s="172" t="str">
        <f>$C$8</f>
        <v>Prato e Vegetais</v>
      </c>
      <c r="D377" s="28"/>
      <c r="E377" s="69"/>
      <c r="F377" s="168"/>
      <c r="G377" s="168"/>
      <c r="H377" s="168"/>
      <c r="I377" s="168"/>
      <c r="J377" s="168"/>
      <c r="K377" s="168"/>
      <c r="L377" s="168"/>
      <c r="M377" s="168"/>
      <c r="N377" s="10"/>
    </row>
    <row r="378" spans="1:14" ht="20.100000000000001" hidden="1" customHeight="1" thickBot="1">
      <c r="A378" s="170"/>
      <c r="B378" s="17">
        <v>0</v>
      </c>
      <c r="C378" s="172">
        <f>$C$9</f>
        <v>0</v>
      </c>
      <c r="D378" s="28"/>
      <c r="E378" s="69"/>
      <c r="F378" s="169"/>
      <c r="G378" s="169"/>
      <c r="H378" s="169"/>
      <c r="I378" s="169"/>
      <c r="J378" s="169"/>
      <c r="K378" s="169"/>
      <c r="L378" s="169"/>
      <c r="M378" s="169"/>
      <c r="N378" s="10"/>
    </row>
    <row r="379" spans="1:14" ht="20.100000000000001" hidden="1" customHeight="1" thickTop="1">
      <c r="A379" s="170"/>
      <c r="B379" s="26">
        <v>0</v>
      </c>
      <c r="C379" s="36" t="str">
        <f>$C$10</f>
        <v>Sobremesa</v>
      </c>
      <c r="D379" s="28"/>
      <c r="E379" s="69"/>
      <c r="F379" s="40"/>
      <c r="G379" s="40"/>
      <c r="H379" s="40"/>
      <c r="I379" s="40"/>
      <c r="J379" s="40"/>
      <c r="K379" s="40"/>
      <c r="L379" s="40"/>
      <c r="M379" s="40"/>
      <c r="N379" s="10"/>
    </row>
    <row r="380" spans="1:14" ht="20.100000000000001" hidden="1" customHeight="1">
      <c r="A380" s="170"/>
      <c r="B380" s="17">
        <v>0</v>
      </c>
      <c r="C380" s="36" t="str">
        <f>$C$11</f>
        <v>Pão</v>
      </c>
      <c r="D380" s="28"/>
      <c r="E380" s="70"/>
      <c r="F380" s="163"/>
      <c r="G380" s="164"/>
      <c r="H380" s="164"/>
      <c r="I380" s="164"/>
      <c r="J380" s="164"/>
      <c r="K380" s="164"/>
      <c r="L380" s="164"/>
      <c r="M380" s="165"/>
      <c r="N380" s="10"/>
    </row>
    <row r="381" spans="1:14" ht="20.100000000000001" hidden="1" customHeight="1">
      <c r="A381" s="30"/>
      <c r="B381" s="26">
        <v>0</v>
      </c>
      <c r="C381" s="31">
        <v>0</v>
      </c>
      <c r="D381" s="28"/>
      <c r="E381" s="71"/>
      <c r="F381" s="32"/>
      <c r="G381" s="32"/>
      <c r="H381" s="32"/>
      <c r="I381" s="32"/>
      <c r="J381" s="32"/>
      <c r="K381" s="32"/>
      <c r="L381" s="32"/>
      <c r="M381" s="32"/>
      <c r="N381" s="10"/>
    </row>
    <row r="382" spans="1:14" ht="20.100000000000001" hidden="1" customHeight="1">
      <c r="A382" s="33"/>
      <c r="B382" s="17">
        <v>0</v>
      </c>
      <c r="C382" s="34"/>
      <c r="D382" s="28"/>
      <c r="E382" s="68"/>
      <c r="F382" s="39" t="s">
        <v>87</v>
      </c>
      <c r="G382" s="39" t="s">
        <v>88</v>
      </c>
      <c r="H382" s="39" t="s">
        <v>89</v>
      </c>
      <c r="I382" s="39" t="s">
        <v>90</v>
      </c>
      <c r="J382" s="39" t="s">
        <v>91</v>
      </c>
      <c r="K382" s="39" t="s">
        <v>92</v>
      </c>
      <c r="L382" s="39" t="s">
        <v>93</v>
      </c>
      <c r="M382" s="39" t="s">
        <v>93</v>
      </c>
      <c r="N382" s="10"/>
    </row>
    <row r="383" spans="1:14" ht="20.100000000000001" hidden="1" customHeight="1">
      <c r="A383" s="161" t="s">
        <v>22</v>
      </c>
      <c r="B383" s="26">
        <v>0</v>
      </c>
      <c r="C383" s="35" t="str">
        <f>$C$7</f>
        <v>Sopa</v>
      </c>
      <c r="D383" s="28"/>
      <c r="E383" s="69"/>
      <c r="F383" s="40"/>
      <c r="G383" s="40"/>
      <c r="H383" s="40"/>
      <c r="I383" s="40"/>
      <c r="J383" s="40"/>
      <c r="K383" s="40"/>
      <c r="L383" s="40"/>
      <c r="M383" s="40"/>
      <c r="N383" s="10"/>
    </row>
    <row r="384" spans="1:14" ht="20.100000000000001" hidden="1" customHeight="1">
      <c r="A384" s="170"/>
      <c r="B384" s="17">
        <v>0</v>
      </c>
      <c r="C384" s="172" t="str">
        <f>$C$8</f>
        <v>Prato e Vegetais</v>
      </c>
      <c r="D384" s="28"/>
      <c r="E384" s="69"/>
      <c r="F384" s="168"/>
      <c r="G384" s="168"/>
      <c r="H384" s="168"/>
      <c r="I384" s="168"/>
      <c r="J384" s="168"/>
      <c r="K384" s="168"/>
      <c r="L384" s="168"/>
      <c r="M384" s="168"/>
      <c r="N384" s="10"/>
    </row>
    <row r="385" spans="1:14" ht="20.100000000000001" hidden="1" customHeight="1" thickBot="1">
      <c r="A385" s="170"/>
      <c r="B385" s="26">
        <v>0</v>
      </c>
      <c r="C385" s="172">
        <f>$C$9</f>
        <v>0</v>
      </c>
      <c r="D385" s="28"/>
      <c r="E385" s="69"/>
      <c r="F385" s="169"/>
      <c r="G385" s="169"/>
      <c r="H385" s="169"/>
      <c r="I385" s="169"/>
      <c r="J385" s="169"/>
      <c r="K385" s="169"/>
      <c r="L385" s="169"/>
      <c r="M385" s="169"/>
      <c r="N385" s="10"/>
    </row>
    <row r="386" spans="1:14" ht="20.100000000000001" hidden="1" customHeight="1" thickTop="1">
      <c r="A386" s="170"/>
      <c r="B386" s="17">
        <v>0</v>
      </c>
      <c r="C386" s="36" t="str">
        <f>$C$10</f>
        <v>Sobremesa</v>
      </c>
      <c r="D386" s="28"/>
      <c r="E386" s="69"/>
      <c r="F386" s="40"/>
      <c r="G386" s="40"/>
      <c r="H386" s="40"/>
      <c r="I386" s="40"/>
      <c r="J386" s="40"/>
      <c r="K386" s="40"/>
      <c r="L386" s="40"/>
      <c r="M386" s="40"/>
      <c r="N386" s="10"/>
    </row>
    <row r="387" spans="1:14" ht="20.100000000000001" hidden="1" customHeight="1">
      <c r="A387" s="170"/>
      <c r="B387" s="26">
        <v>0</v>
      </c>
      <c r="C387" s="36" t="str">
        <f>$C$11</f>
        <v>Pão</v>
      </c>
      <c r="D387" s="28"/>
      <c r="E387" s="70"/>
      <c r="F387" s="163"/>
      <c r="G387" s="164"/>
      <c r="H387" s="164"/>
      <c r="I387" s="164"/>
      <c r="J387" s="164"/>
      <c r="K387" s="164"/>
      <c r="L387" s="164"/>
      <c r="M387" s="165"/>
      <c r="N387" s="10"/>
    </row>
    <row r="388" spans="1:14" ht="20.100000000000001" hidden="1" customHeight="1">
      <c r="A388" s="30"/>
      <c r="B388" s="17">
        <v>0</v>
      </c>
      <c r="C388" s="31">
        <v>0</v>
      </c>
      <c r="D388" s="28"/>
      <c r="E388" s="71"/>
      <c r="F388" s="32"/>
      <c r="G388" s="32"/>
      <c r="H388" s="32"/>
      <c r="I388" s="32"/>
      <c r="J388" s="32"/>
      <c r="K388" s="32"/>
      <c r="L388" s="32"/>
      <c r="M388" s="32"/>
      <c r="N388" s="10"/>
    </row>
    <row r="389" spans="1:14" ht="24.75" hidden="1" customHeight="1">
      <c r="A389" s="33"/>
      <c r="B389" s="26">
        <v>0</v>
      </c>
      <c r="C389" s="34"/>
      <c r="D389" s="28"/>
      <c r="E389" s="68"/>
      <c r="F389" s="39" t="s">
        <v>87</v>
      </c>
      <c r="G389" s="39" t="s">
        <v>88</v>
      </c>
      <c r="H389" s="39" t="s">
        <v>89</v>
      </c>
      <c r="I389" s="39" t="s">
        <v>90</v>
      </c>
      <c r="J389" s="39" t="s">
        <v>91</v>
      </c>
      <c r="K389" s="39" t="s">
        <v>92</v>
      </c>
      <c r="L389" s="39" t="s">
        <v>93</v>
      </c>
      <c r="M389" s="39" t="s">
        <v>93</v>
      </c>
      <c r="N389" s="10"/>
    </row>
    <row r="390" spans="1:14" ht="20.100000000000001" hidden="1" customHeight="1">
      <c r="A390" s="161" t="s">
        <v>23</v>
      </c>
      <c r="B390" s="17">
        <v>0</v>
      </c>
      <c r="C390" s="35" t="str">
        <f>$C$7</f>
        <v>Sopa</v>
      </c>
      <c r="D390" s="28"/>
      <c r="E390" s="69"/>
      <c r="F390" s="40"/>
      <c r="G390" s="40"/>
      <c r="H390" s="40"/>
      <c r="I390" s="40"/>
      <c r="J390" s="40"/>
      <c r="K390" s="40"/>
      <c r="L390" s="40"/>
      <c r="M390" s="40"/>
      <c r="N390" s="10"/>
    </row>
    <row r="391" spans="1:14" ht="24.75" hidden="1" customHeight="1">
      <c r="A391" s="170"/>
      <c r="B391" s="26">
        <v>0</v>
      </c>
      <c r="C391" s="171" t="str">
        <f>$C$8</f>
        <v>Prato e Vegetais</v>
      </c>
      <c r="D391" s="28"/>
      <c r="E391" s="69"/>
      <c r="F391" s="168"/>
      <c r="G391" s="168"/>
      <c r="H391" s="168"/>
      <c r="I391" s="168"/>
      <c r="J391" s="168"/>
      <c r="K391" s="168"/>
      <c r="L391" s="168"/>
      <c r="M391" s="168"/>
      <c r="N391" s="10"/>
    </row>
    <row r="392" spans="1:14" ht="20.100000000000001" hidden="1" customHeight="1" thickBot="1">
      <c r="A392" s="170"/>
      <c r="B392" s="17">
        <v>0</v>
      </c>
      <c r="C392" s="171">
        <f>$C$9</f>
        <v>0</v>
      </c>
      <c r="D392" s="28"/>
      <c r="E392" s="69"/>
      <c r="F392" s="169"/>
      <c r="G392" s="169"/>
      <c r="H392" s="169"/>
      <c r="I392" s="169"/>
      <c r="J392" s="169"/>
      <c r="K392" s="169"/>
      <c r="L392" s="169"/>
      <c r="M392" s="169"/>
      <c r="N392" s="10"/>
    </row>
    <row r="393" spans="1:14" ht="20.100000000000001" hidden="1" customHeight="1" thickTop="1">
      <c r="A393" s="170"/>
      <c r="B393" s="26">
        <v>0</v>
      </c>
      <c r="C393" s="36" t="str">
        <f>$C$10</f>
        <v>Sobremesa</v>
      </c>
      <c r="D393" s="28"/>
      <c r="E393" s="69"/>
      <c r="F393" s="40"/>
      <c r="G393" s="40"/>
      <c r="H393" s="40"/>
      <c r="I393" s="40"/>
      <c r="J393" s="40"/>
      <c r="K393" s="40"/>
      <c r="L393" s="40"/>
      <c r="M393" s="40"/>
      <c r="N393" s="10"/>
    </row>
    <row r="394" spans="1:14" ht="20.100000000000001" hidden="1" customHeight="1">
      <c r="A394" s="170"/>
      <c r="B394" s="17">
        <v>0</v>
      </c>
      <c r="C394" s="36" t="str">
        <f>$C$11</f>
        <v>Pão</v>
      </c>
      <c r="D394" s="28"/>
      <c r="E394" s="70"/>
      <c r="F394" s="163"/>
      <c r="G394" s="164"/>
      <c r="H394" s="164"/>
      <c r="I394" s="164"/>
      <c r="J394" s="164"/>
      <c r="K394" s="164"/>
      <c r="L394" s="164"/>
      <c r="M394" s="165"/>
      <c r="N394" s="10"/>
    </row>
    <row r="395" spans="1:14" ht="20.100000000000001" hidden="1" customHeight="1">
      <c r="A395" s="30"/>
      <c r="B395" s="26">
        <v>0</v>
      </c>
      <c r="C395" s="31">
        <v>0</v>
      </c>
      <c r="D395" s="28"/>
      <c r="E395" s="71"/>
      <c r="F395" s="32"/>
      <c r="G395" s="32"/>
      <c r="H395" s="32"/>
      <c r="I395" s="32"/>
      <c r="J395" s="32"/>
      <c r="K395" s="32"/>
      <c r="L395" s="32"/>
      <c r="M395" s="32"/>
      <c r="N395" s="10"/>
    </row>
    <row r="396" spans="1:14" ht="20.100000000000001" hidden="1" customHeight="1">
      <c r="A396" s="33"/>
      <c r="B396" s="17">
        <v>0</v>
      </c>
      <c r="C396" s="34"/>
      <c r="D396" s="28"/>
      <c r="E396" s="68"/>
      <c r="F396" s="39" t="s">
        <v>87</v>
      </c>
      <c r="G396" s="39" t="s">
        <v>88</v>
      </c>
      <c r="H396" s="39" t="s">
        <v>89</v>
      </c>
      <c r="I396" s="39" t="s">
        <v>90</v>
      </c>
      <c r="J396" s="39" t="s">
        <v>91</v>
      </c>
      <c r="K396" s="39" t="s">
        <v>92</v>
      </c>
      <c r="L396" s="39" t="s">
        <v>93</v>
      </c>
      <c r="M396" s="39" t="s">
        <v>93</v>
      </c>
      <c r="N396" s="10"/>
    </row>
    <row r="397" spans="1:14" ht="20.100000000000001" hidden="1" customHeight="1">
      <c r="A397" s="161" t="s">
        <v>24</v>
      </c>
      <c r="B397" s="26">
        <v>0</v>
      </c>
      <c r="C397" s="35" t="str">
        <f>$C$7</f>
        <v>Sopa</v>
      </c>
      <c r="D397" s="28"/>
      <c r="E397" s="69"/>
      <c r="F397" s="40"/>
      <c r="G397" s="40"/>
      <c r="H397" s="40"/>
      <c r="I397" s="40"/>
      <c r="J397" s="40"/>
      <c r="K397" s="40"/>
      <c r="L397" s="40"/>
      <c r="M397" s="40"/>
      <c r="N397" s="10"/>
    </row>
    <row r="398" spans="1:14" ht="18" hidden="1">
      <c r="A398" s="170"/>
      <c r="B398" s="17">
        <v>0</v>
      </c>
      <c r="C398" s="171" t="str">
        <f>$C$8</f>
        <v>Prato e Vegetais</v>
      </c>
      <c r="D398" s="28"/>
      <c r="E398" s="69"/>
      <c r="F398" s="168"/>
      <c r="G398" s="168"/>
      <c r="H398" s="168"/>
      <c r="I398" s="168"/>
      <c r="J398" s="168"/>
      <c r="K398" s="168"/>
      <c r="L398" s="168"/>
      <c r="M398" s="168"/>
      <c r="N398" s="10"/>
    </row>
    <row r="399" spans="1:14" ht="20.100000000000001" hidden="1" customHeight="1">
      <c r="A399" s="170"/>
      <c r="B399" s="26">
        <v>0</v>
      </c>
      <c r="C399" s="171">
        <f>$C$9</f>
        <v>0</v>
      </c>
      <c r="D399" s="28"/>
      <c r="E399" s="69"/>
      <c r="F399" s="169"/>
      <c r="G399" s="169"/>
      <c r="H399" s="169"/>
      <c r="I399" s="169"/>
      <c r="J399" s="169"/>
      <c r="K399" s="169"/>
      <c r="L399" s="169"/>
      <c r="M399" s="169"/>
      <c r="N399" s="10"/>
    </row>
    <row r="400" spans="1:14" ht="20.100000000000001" hidden="1" customHeight="1" thickBot="1">
      <c r="A400" s="170"/>
      <c r="B400" s="17">
        <v>0</v>
      </c>
      <c r="C400" s="36" t="str">
        <f>$C$10</f>
        <v>Sobremesa</v>
      </c>
      <c r="D400" s="28"/>
      <c r="E400" s="69"/>
      <c r="F400" s="40"/>
      <c r="G400" s="40"/>
      <c r="H400" s="40"/>
      <c r="I400" s="40"/>
      <c r="J400" s="40"/>
      <c r="K400" s="40"/>
      <c r="L400" s="40"/>
      <c r="M400" s="40"/>
      <c r="N400" s="10"/>
    </row>
    <row r="401" spans="1:15" ht="20.100000000000001" hidden="1" customHeight="1" thickTop="1">
      <c r="A401" s="170"/>
      <c r="B401" s="26">
        <v>0</v>
      </c>
      <c r="C401" s="36" t="str">
        <f>$C$11</f>
        <v>Pão</v>
      </c>
      <c r="D401" s="28"/>
      <c r="E401" s="70"/>
      <c r="F401" s="163"/>
      <c r="G401" s="164"/>
      <c r="H401" s="164"/>
      <c r="I401" s="164"/>
      <c r="J401" s="164"/>
      <c r="K401" s="164"/>
      <c r="L401" s="164"/>
      <c r="M401" s="165"/>
      <c r="N401" s="10"/>
    </row>
    <row r="402" spans="1:15" ht="123" hidden="1" customHeight="1">
      <c r="A402" s="166" t="s">
        <v>96</v>
      </c>
      <c r="B402" s="167"/>
      <c r="C402" s="167"/>
      <c r="D402" s="167"/>
      <c r="E402" s="167"/>
      <c r="F402" s="167"/>
      <c r="G402" s="167"/>
      <c r="H402" s="167"/>
      <c r="I402" s="167"/>
      <c r="J402" s="167"/>
      <c r="K402" s="167"/>
      <c r="L402" s="167"/>
      <c r="M402" s="167"/>
      <c r="N402" s="10"/>
    </row>
    <row r="403" spans="1:15" ht="39.950000000000003" customHeight="1">
      <c r="B403" s="26">
        <v>0</v>
      </c>
      <c r="C403" s="63" t="s">
        <v>111</v>
      </c>
      <c r="D403" s="24"/>
      <c r="E403" s="72" t="s">
        <v>384</v>
      </c>
      <c r="F403" s="37"/>
      <c r="G403" s="37"/>
      <c r="H403" s="37"/>
      <c r="I403" s="37"/>
      <c r="J403" s="37"/>
      <c r="K403" s="37"/>
      <c r="L403" s="37"/>
      <c r="M403" s="37"/>
      <c r="N403" s="1"/>
    </row>
    <row r="404" spans="1:15" ht="18.75" thickBot="1">
      <c r="B404" s="17">
        <v>0</v>
      </c>
      <c r="F404" s="39" t="s">
        <v>87</v>
      </c>
      <c r="G404" s="39" t="s">
        <v>88</v>
      </c>
      <c r="H404" s="39" t="s">
        <v>89</v>
      </c>
      <c r="I404" s="39" t="s">
        <v>90</v>
      </c>
      <c r="J404" s="39" t="s">
        <v>91</v>
      </c>
      <c r="K404" s="39" t="s">
        <v>476</v>
      </c>
      <c r="L404" s="39" t="s">
        <v>477</v>
      </c>
      <c r="M404" s="39" t="s">
        <v>93</v>
      </c>
      <c r="N404" s="3"/>
    </row>
    <row r="405" spans="1:15" ht="20.100000000000001" customHeight="1" thickTop="1">
      <c r="A405" s="161" t="s">
        <v>16</v>
      </c>
      <c r="B405" s="26">
        <v>0</v>
      </c>
      <c r="C405" s="27" t="s">
        <v>17</v>
      </c>
      <c r="D405" s="28"/>
      <c r="E405" s="69" t="s">
        <v>74</v>
      </c>
      <c r="F405" s="40">
        <v>525.29999999999995</v>
      </c>
      <c r="G405" s="40">
        <v>125.6</v>
      </c>
      <c r="H405" s="40">
        <v>3.5</v>
      </c>
      <c r="I405" s="40">
        <v>0.5</v>
      </c>
      <c r="J405" s="40">
        <v>18.7</v>
      </c>
      <c r="K405" s="40">
        <v>5.5</v>
      </c>
      <c r="L405" s="40">
        <v>4.5</v>
      </c>
      <c r="M405" s="40">
        <v>0.2</v>
      </c>
      <c r="N405" s="15" t="s">
        <v>55</v>
      </c>
    </row>
    <row r="406" spans="1:15" ht="42" customHeight="1">
      <c r="A406" s="162"/>
      <c r="B406" s="17">
        <v>0</v>
      </c>
      <c r="C406" s="42" t="s">
        <v>18</v>
      </c>
      <c r="D406" s="28"/>
      <c r="E406" s="69" t="s">
        <v>465</v>
      </c>
      <c r="F406" s="40">
        <f>417.2+1198.4</f>
        <v>1615.6000000000001</v>
      </c>
      <c r="G406" s="40">
        <f>99.7+286.4</f>
        <v>386.09999999999997</v>
      </c>
      <c r="H406" s="40">
        <f>3.6+1.5</f>
        <v>5.0999999999999996</v>
      </c>
      <c r="I406" s="40">
        <f>0.5+0.3</f>
        <v>0.8</v>
      </c>
      <c r="J406" s="40">
        <f>10.5+56.9</f>
        <v>67.400000000000006</v>
      </c>
      <c r="K406" s="40">
        <f>6.7+2.5</f>
        <v>9.1999999999999993</v>
      </c>
      <c r="L406" s="40">
        <f>6.5+9.7</f>
        <v>16.2</v>
      </c>
      <c r="M406" s="40">
        <v>0.3</v>
      </c>
      <c r="N406" s="15" t="s">
        <v>55</v>
      </c>
    </row>
    <row r="407" spans="1:15" ht="20.100000000000001" customHeight="1">
      <c r="A407" s="162"/>
      <c r="B407" s="26">
        <v>0</v>
      </c>
      <c r="C407" s="42" t="s">
        <v>373</v>
      </c>
      <c r="D407" s="28"/>
      <c r="E407" s="69" t="s">
        <v>145</v>
      </c>
      <c r="F407" s="40">
        <f>20+32.4+163.3</f>
        <v>215.70000000000002</v>
      </c>
      <c r="G407" s="40">
        <f>4.8+7.7+39.2</f>
        <v>51.7</v>
      </c>
      <c r="H407" s="40">
        <v>0.6</v>
      </c>
      <c r="I407" s="40">
        <v>0</v>
      </c>
      <c r="J407" s="40">
        <f>0.3+1.8+7.1</f>
        <v>9.1999999999999993</v>
      </c>
      <c r="K407" s="40">
        <f>0.3+1.6</f>
        <v>1.9000000000000001</v>
      </c>
      <c r="L407" s="40">
        <f>0.7+0.2+1.5</f>
        <v>2.4</v>
      </c>
      <c r="M407" s="40">
        <v>0.1</v>
      </c>
      <c r="N407" s="15" t="s">
        <v>55</v>
      </c>
      <c r="O407" s="43"/>
    </row>
    <row r="408" spans="1:15" ht="44.25" customHeight="1">
      <c r="A408" s="162"/>
      <c r="B408" s="17">
        <v>0</v>
      </c>
      <c r="C408" s="29" t="s">
        <v>19</v>
      </c>
      <c r="D408" s="28"/>
      <c r="E408" s="69" t="s">
        <v>26</v>
      </c>
      <c r="F408" s="40">
        <v>319.7</v>
      </c>
      <c r="G408" s="61">
        <v>76.400000000000006</v>
      </c>
      <c r="H408" s="61">
        <v>0.5</v>
      </c>
      <c r="I408" s="61">
        <v>0.2</v>
      </c>
      <c r="J408" s="61">
        <v>16.899999999999999</v>
      </c>
      <c r="K408" s="61">
        <v>16.7</v>
      </c>
      <c r="L408" s="61">
        <v>1.1000000000000001</v>
      </c>
      <c r="M408" s="61">
        <v>0</v>
      </c>
      <c r="N408" s="15" t="s">
        <v>55</v>
      </c>
    </row>
    <row r="409" spans="1:15" ht="20.100000000000001" customHeight="1">
      <c r="A409" s="162"/>
      <c r="B409" s="26">
        <v>0</v>
      </c>
      <c r="C409" s="29" t="s">
        <v>20</v>
      </c>
      <c r="D409" s="28"/>
      <c r="E409" s="69" t="s">
        <v>25</v>
      </c>
      <c r="F409" s="163" t="s">
        <v>98</v>
      </c>
      <c r="G409" s="164"/>
      <c r="H409" s="164"/>
      <c r="I409" s="164"/>
      <c r="J409" s="164"/>
      <c r="K409" s="164"/>
      <c r="L409" s="164"/>
      <c r="M409" s="165"/>
      <c r="N409" s="14"/>
    </row>
    <row r="410" spans="1:15" ht="20.100000000000001" customHeight="1">
      <c r="A410" s="30"/>
      <c r="B410" s="17">
        <v>0</v>
      </c>
      <c r="C410" s="31">
        <v>0</v>
      </c>
      <c r="D410" s="28"/>
      <c r="F410" s="32"/>
      <c r="G410" s="32"/>
      <c r="H410" s="32"/>
      <c r="I410" s="32"/>
      <c r="J410" s="32"/>
      <c r="K410" s="32"/>
      <c r="L410" s="32"/>
      <c r="M410" s="32"/>
      <c r="N410" s="4"/>
    </row>
    <row r="411" spans="1:15" ht="20.100000000000001" customHeight="1" thickBot="1">
      <c r="A411" s="33"/>
      <c r="B411" s="26">
        <v>0</v>
      </c>
      <c r="C411" s="34"/>
      <c r="D411" s="28"/>
      <c r="F411" s="39" t="s">
        <v>87</v>
      </c>
      <c r="G411" s="39" t="s">
        <v>88</v>
      </c>
      <c r="H411" s="39" t="s">
        <v>89</v>
      </c>
      <c r="I411" s="39" t="s">
        <v>90</v>
      </c>
      <c r="J411" s="39" t="s">
        <v>91</v>
      </c>
      <c r="K411" s="39" t="s">
        <v>476</v>
      </c>
      <c r="L411" s="39" t="s">
        <v>477</v>
      </c>
      <c r="M411" s="39" t="s">
        <v>93</v>
      </c>
      <c r="N411" s="11"/>
    </row>
    <row r="412" spans="1:15" ht="20.100000000000001" customHeight="1" thickTop="1">
      <c r="A412" s="161" t="s">
        <v>21</v>
      </c>
      <c r="B412" s="17">
        <v>0</v>
      </c>
      <c r="C412" s="35" t="str">
        <f>$C$7</f>
        <v>Sopa</v>
      </c>
      <c r="D412" s="28"/>
      <c r="E412" s="69" t="s">
        <v>124</v>
      </c>
      <c r="F412" s="40">
        <v>569.1</v>
      </c>
      <c r="G412" s="40">
        <v>136</v>
      </c>
      <c r="H412" s="40">
        <v>3.8</v>
      </c>
      <c r="I412" s="40">
        <v>0.7</v>
      </c>
      <c r="J412" s="40">
        <v>20.399999999999999</v>
      </c>
      <c r="K412" s="40">
        <v>5.9</v>
      </c>
      <c r="L412" s="40">
        <v>4.8</v>
      </c>
      <c r="M412" s="40">
        <v>0.2</v>
      </c>
      <c r="N412" s="15" t="s">
        <v>55</v>
      </c>
    </row>
    <row r="413" spans="1:15" ht="21.75" customHeight="1">
      <c r="A413" s="162"/>
      <c r="B413" s="26">
        <v>0</v>
      </c>
      <c r="C413" s="42" t="s">
        <v>18</v>
      </c>
      <c r="D413" s="28"/>
      <c r="E413" s="69" t="s">
        <v>422</v>
      </c>
      <c r="F413" s="60">
        <f>407.2+1007.1</f>
        <v>1414.3</v>
      </c>
      <c r="G413" s="60">
        <f>97.3+240.7</f>
        <v>338</v>
      </c>
      <c r="H413" s="60">
        <v>3.5</v>
      </c>
      <c r="I413" s="60">
        <v>0.5</v>
      </c>
      <c r="J413" s="60">
        <f>8.8+51.8</f>
        <v>60.599999999999994</v>
      </c>
      <c r="K413" s="60">
        <f>1.8+3.2</f>
        <v>5</v>
      </c>
      <c r="L413" s="60">
        <f>7.5+6.8</f>
        <v>14.3</v>
      </c>
      <c r="M413" s="60">
        <v>0.3</v>
      </c>
      <c r="N413" s="15" t="s">
        <v>55</v>
      </c>
    </row>
    <row r="414" spans="1:15" ht="20.100000000000001" customHeight="1">
      <c r="A414" s="162"/>
      <c r="B414" s="17">
        <v>0</v>
      </c>
      <c r="C414" s="42" t="s">
        <v>373</v>
      </c>
      <c r="D414" s="28"/>
      <c r="E414" s="69" t="s">
        <v>155</v>
      </c>
      <c r="F414" s="40">
        <f>28+25.6+40</f>
        <v>93.6</v>
      </c>
      <c r="G414" s="40">
        <f>6.7+6.1+9.6</f>
        <v>22.4</v>
      </c>
      <c r="H414" s="40">
        <v>0.5</v>
      </c>
      <c r="I414" s="40">
        <v>0</v>
      </c>
      <c r="J414" s="40">
        <f>0.8+0.6+1.8</f>
        <v>3.2</v>
      </c>
      <c r="K414" s="40">
        <f>0.8+0.6+1.8</f>
        <v>3.2</v>
      </c>
      <c r="L414" s="40">
        <f>0.6+0.5+0.4</f>
        <v>1.5</v>
      </c>
      <c r="M414" s="40">
        <v>0</v>
      </c>
      <c r="N414" s="15" t="s">
        <v>55</v>
      </c>
    </row>
    <row r="415" spans="1:15" ht="20.100000000000001" customHeight="1">
      <c r="A415" s="162"/>
      <c r="B415" s="26">
        <v>0</v>
      </c>
      <c r="C415" s="36" t="str">
        <f>$C$10</f>
        <v>Sobremesa</v>
      </c>
      <c r="D415" s="28"/>
      <c r="E415" s="69" t="s">
        <v>26</v>
      </c>
      <c r="F415" s="40">
        <v>319.7</v>
      </c>
      <c r="G415" s="61">
        <v>76.400000000000006</v>
      </c>
      <c r="H415" s="61">
        <v>0.5</v>
      </c>
      <c r="I415" s="61">
        <v>0.2</v>
      </c>
      <c r="J415" s="61">
        <v>16.899999999999999</v>
      </c>
      <c r="K415" s="61">
        <v>16.7</v>
      </c>
      <c r="L415" s="61">
        <v>1.1000000000000001</v>
      </c>
      <c r="M415" s="61">
        <v>0</v>
      </c>
      <c r="N415" s="15" t="s">
        <v>55</v>
      </c>
    </row>
    <row r="416" spans="1:15" ht="20.100000000000001" customHeight="1">
      <c r="A416" s="162"/>
      <c r="B416" s="17">
        <v>0</v>
      </c>
      <c r="C416" s="36" t="str">
        <f>$C$11</f>
        <v>Pão</v>
      </c>
      <c r="D416" s="28"/>
      <c r="E416" s="70" t="s">
        <v>25</v>
      </c>
      <c r="F416" s="163" t="s">
        <v>98</v>
      </c>
      <c r="G416" s="164"/>
      <c r="H416" s="164"/>
      <c r="I416" s="164"/>
      <c r="J416" s="164"/>
      <c r="K416" s="164"/>
      <c r="L416" s="164"/>
      <c r="M416" s="165"/>
      <c r="N416" s="14"/>
    </row>
    <row r="417" spans="1:14" ht="20.100000000000001" customHeight="1">
      <c r="A417" s="30"/>
      <c r="B417" s="26">
        <v>0</v>
      </c>
      <c r="C417" s="31"/>
      <c r="D417" s="28"/>
      <c r="E417" s="68"/>
      <c r="F417" s="32"/>
      <c r="G417" s="32"/>
      <c r="H417" s="32"/>
      <c r="I417" s="32"/>
      <c r="J417" s="32"/>
      <c r="K417" s="32"/>
      <c r="L417" s="32"/>
      <c r="M417" s="32"/>
      <c r="N417" s="4"/>
    </row>
    <row r="418" spans="1:14" ht="20.100000000000001" customHeight="1" thickBot="1">
      <c r="A418" s="33"/>
      <c r="B418" s="17">
        <v>0</v>
      </c>
      <c r="C418" s="34"/>
      <c r="D418" s="28"/>
      <c r="E418" s="68"/>
      <c r="F418" s="39" t="s">
        <v>87</v>
      </c>
      <c r="G418" s="39" t="s">
        <v>88</v>
      </c>
      <c r="H418" s="39" t="s">
        <v>89</v>
      </c>
      <c r="I418" s="39" t="s">
        <v>90</v>
      </c>
      <c r="J418" s="39" t="s">
        <v>91</v>
      </c>
      <c r="K418" s="39" t="s">
        <v>476</v>
      </c>
      <c r="L418" s="39" t="s">
        <v>477</v>
      </c>
      <c r="M418" s="39" t="s">
        <v>93</v>
      </c>
      <c r="N418" s="11"/>
    </row>
    <row r="419" spans="1:14" ht="20.100000000000001" customHeight="1" thickTop="1">
      <c r="A419" s="161" t="s">
        <v>22</v>
      </c>
      <c r="B419" s="26">
        <v>0</v>
      </c>
      <c r="C419" s="35" t="str">
        <f>$C$7</f>
        <v>Sopa</v>
      </c>
      <c r="D419" s="28"/>
      <c r="E419" s="69" t="s">
        <v>156</v>
      </c>
      <c r="F419" s="60">
        <v>257.2</v>
      </c>
      <c r="G419" s="40">
        <v>61.5</v>
      </c>
      <c r="H419" s="40">
        <v>3.5</v>
      </c>
      <c r="I419" s="40">
        <v>0.6</v>
      </c>
      <c r="J419" s="40">
        <v>5.8</v>
      </c>
      <c r="K419" s="40">
        <v>4.9000000000000004</v>
      </c>
      <c r="L419" s="40">
        <v>2</v>
      </c>
      <c r="M419" s="40">
        <v>0.2</v>
      </c>
      <c r="N419" s="15" t="s">
        <v>55</v>
      </c>
    </row>
    <row r="420" spans="1:14" ht="38.25" customHeight="1">
      <c r="A420" s="162"/>
      <c r="B420" s="17">
        <v>0</v>
      </c>
      <c r="C420" s="42" t="s">
        <v>18</v>
      </c>
      <c r="D420" s="28"/>
      <c r="E420" s="69" t="s">
        <v>473</v>
      </c>
      <c r="F420" s="40">
        <f>148.7+266.9+206</f>
        <v>621.59999999999991</v>
      </c>
      <c r="G420" s="40">
        <f>35.6+63.8+49.2</f>
        <v>148.60000000000002</v>
      </c>
      <c r="H420" s="40">
        <f>3.3+3.2+0.5</f>
        <v>7</v>
      </c>
      <c r="I420" s="40">
        <f>0.5+0.5+0.2</f>
        <v>1.2</v>
      </c>
      <c r="J420" s="40">
        <f>0.6+7.6+5.7</f>
        <v>13.899999999999999</v>
      </c>
      <c r="K420" s="40">
        <f>0.4+2.8+4.2</f>
        <v>7.4</v>
      </c>
      <c r="L420" s="40">
        <f>1+3+4</f>
        <v>8</v>
      </c>
      <c r="M420" s="40">
        <v>0.4</v>
      </c>
      <c r="N420" s="15" t="s">
        <v>55</v>
      </c>
    </row>
    <row r="421" spans="1:14" ht="20.100000000000001" customHeight="1">
      <c r="A421" s="162"/>
      <c r="B421" s="26">
        <v>0</v>
      </c>
      <c r="C421" s="42" t="s">
        <v>373</v>
      </c>
      <c r="D421" s="28"/>
      <c r="E421" s="69" t="s">
        <v>145</v>
      </c>
      <c r="F421" s="40">
        <f>20+32.4+163.3</f>
        <v>215.70000000000002</v>
      </c>
      <c r="G421" s="40">
        <f>4.8+7.7+39.2</f>
        <v>51.7</v>
      </c>
      <c r="H421" s="40">
        <v>0.6</v>
      </c>
      <c r="I421" s="40">
        <v>0</v>
      </c>
      <c r="J421" s="40">
        <f>0.3+1.8+7.1</f>
        <v>9.1999999999999993</v>
      </c>
      <c r="K421" s="40">
        <f>0.3+1.6</f>
        <v>1.9000000000000001</v>
      </c>
      <c r="L421" s="40">
        <f>0.7+0.2+1.5</f>
        <v>2.4</v>
      </c>
      <c r="M421" s="40">
        <v>0.1</v>
      </c>
      <c r="N421" s="15" t="s">
        <v>55</v>
      </c>
    </row>
    <row r="422" spans="1:14" ht="20.100000000000001" customHeight="1">
      <c r="A422" s="162"/>
      <c r="B422" s="17">
        <v>0</v>
      </c>
      <c r="C422" s="36" t="str">
        <f>$C$10</f>
        <v>Sobremesa</v>
      </c>
      <c r="D422" s="28"/>
      <c r="E422" s="69" t="s">
        <v>26</v>
      </c>
      <c r="F422" s="40">
        <v>319.7</v>
      </c>
      <c r="G422" s="61">
        <v>76.400000000000006</v>
      </c>
      <c r="H422" s="61">
        <v>0.5</v>
      </c>
      <c r="I422" s="61">
        <v>0.2</v>
      </c>
      <c r="J422" s="61">
        <v>16.899999999999999</v>
      </c>
      <c r="K422" s="61">
        <v>16.7</v>
      </c>
      <c r="L422" s="61">
        <v>1.1000000000000001</v>
      </c>
      <c r="M422" s="61">
        <v>0</v>
      </c>
      <c r="N422" s="15" t="s">
        <v>55</v>
      </c>
    </row>
    <row r="423" spans="1:14" ht="20.100000000000001" customHeight="1">
      <c r="A423" s="162"/>
      <c r="B423" s="26">
        <v>0</v>
      </c>
      <c r="C423" s="36" t="str">
        <f>$C$11</f>
        <v>Pão</v>
      </c>
      <c r="D423" s="28"/>
      <c r="E423" s="70" t="s">
        <v>25</v>
      </c>
      <c r="F423" s="163" t="s">
        <v>98</v>
      </c>
      <c r="G423" s="164"/>
      <c r="H423" s="164"/>
      <c r="I423" s="164"/>
      <c r="J423" s="164"/>
      <c r="K423" s="164"/>
      <c r="L423" s="164"/>
      <c r="M423" s="165"/>
      <c r="N423" s="14"/>
    </row>
    <row r="424" spans="1:14" ht="20.100000000000001" customHeight="1">
      <c r="A424" s="30"/>
      <c r="B424" s="17">
        <v>0</v>
      </c>
      <c r="C424" s="31"/>
      <c r="D424" s="28"/>
      <c r="E424" s="71"/>
      <c r="F424" s="32"/>
      <c r="G424" s="32"/>
      <c r="H424" s="32"/>
      <c r="I424" s="32"/>
      <c r="J424" s="32"/>
      <c r="K424" s="32"/>
      <c r="L424" s="32"/>
      <c r="M424" s="32"/>
      <c r="N424" s="4"/>
    </row>
    <row r="425" spans="1:14" ht="20.100000000000001" customHeight="1" thickBot="1">
      <c r="A425" s="33"/>
      <c r="B425" s="26">
        <v>0</v>
      </c>
      <c r="C425" s="34"/>
      <c r="D425" s="28"/>
      <c r="E425" s="68"/>
      <c r="F425" s="39" t="s">
        <v>87</v>
      </c>
      <c r="G425" s="39" t="s">
        <v>88</v>
      </c>
      <c r="H425" s="39" t="s">
        <v>89</v>
      </c>
      <c r="I425" s="39" t="s">
        <v>90</v>
      </c>
      <c r="J425" s="39" t="s">
        <v>91</v>
      </c>
      <c r="K425" s="39" t="s">
        <v>476</v>
      </c>
      <c r="L425" s="39" t="s">
        <v>477</v>
      </c>
      <c r="M425" s="39" t="s">
        <v>93</v>
      </c>
      <c r="N425" s="11"/>
    </row>
    <row r="426" spans="1:14" ht="20.100000000000001" customHeight="1" thickTop="1">
      <c r="A426" s="161" t="s">
        <v>23</v>
      </c>
      <c r="B426" s="17">
        <v>0</v>
      </c>
      <c r="C426" s="35" t="str">
        <f>$C$7</f>
        <v>Sopa</v>
      </c>
      <c r="D426" s="28"/>
      <c r="E426" s="69" t="s">
        <v>454</v>
      </c>
      <c r="F426" s="40">
        <v>989.3</v>
      </c>
      <c r="G426" s="40">
        <v>236.4</v>
      </c>
      <c r="H426" s="40">
        <v>5.2</v>
      </c>
      <c r="I426" s="40">
        <v>0.7</v>
      </c>
      <c r="J426" s="40">
        <v>36.4</v>
      </c>
      <c r="K426" s="40">
        <v>5.4</v>
      </c>
      <c r="L426" s="40">
        <v>10.4</v>
      </c>
      <c r="M426" s="40">
        <v>0.1</v>
      </c>
      <c r="N426" s="15" t="s">
        <v>55</v>
      </c>
    </row>
    <row r="427" spans="1:14" ht="47.25" customHeight="1">
      <c r="A427" s="162"/>
      <c r="B427" s="26">
        <v>0</v>
      </c>
      <c r="C427" s="42" t="s">
        <v>18</v>
      </c>
      <c r="D427" s="28"/>
      <c r="E427" s="69" t="s">
        <v>403</v>
      </c>
      <c r="F427" s="40">
        <v>514.6</v>
      </c>
      <c r="G427" s="61">
        <v>122.8</v>
      </c>
      <c r="H427" s="61">
        <v>3.4</v>
      </c>
      <c r="I427" s="61">
        <v>0.5</v>
      </c>
      <c r="J427" s="61">
        <v>14.9</v>
      </c>
      <c r="K427" s="61">
        <v>2.9</v>
      </c>
      <c r="L427" s="61">
        <v>7.2</v>
      </c>
      <c r="M427" s="61">
        <v>0.1</v>
      </c>
      <c r="N427" s="15" t="s">
        <v>55</v>
      </c>
    </row>
    <row r="428" spans="1:14" ht="20.100000000000001" customHeight="1">
      <c r="A428" s="162"/>
      <c r="B428" s="17">
        <v>0</v>
      </c>
      <c r="C428" s="42" t="s">
        <v>373</v>
      </c>
      <c r="D428" s="28"/>
      <c r="E428" s="69" t="s">
        <v>150</v>
      </c>
      <c r="F428" s="40">
        <f>20+28.5+40</f>
        <v>88.5</v>
      </c>
      <c r="G428" s="40">
        <f>4.8+6.8+9.6</f>
        <v>21.2</v>
      </c>
      <c r="H428" s="40">
        <v>0.3</v>
      </c>
      <c r="I428" s="40">
        <v>0</v>
      </c>
      <c r="J428" s="40">
        <f>0.3+1.2+1.8</f>
        <v>3.3</v>
      </c>
      <c r="K428" s="40">
        <f>0.3+1+1.8</f>
        <v>3.1</v>
      </c>
      <c r="L428" s="40">
        <f>0.7+0.6+0.4</f>
        <v>1.6999999999999997</v>
      </c>
      <c r="M428" s="40">
        <v>0</v>
      </c>
      <c r="N428" s="15" t="s">
        <v>55</v>
      </c>
    </row>
    <row r="429" spans="1:14" ht="20.100000000000001" customHeight="1">
      <c r="A429" s="162"/>
      <c r="B429" s="26">
        <v>0</v>
      </c>
      <c r="C429" s="36" t="str">
        <f>$C$10</f>
        <v>Sobremesa</v>
      </c>
      <c r="D429" s="28"/>
      <c r="E429" s="78" t="s">
        <v>157</v>
      </c>
      <c r="F429" s="40" t="s">
        <v>478</v>
      </c>
      <c r="G429" s="61" t="s">
        <v>479</v>
      </c>
      <c r="H429" s="61" t="s">
        <v>480</v>
      </c>
      <c r="I429" s="61" t="s">
        <v>481</v>
      </c>
      <c r="J429" s="61" t="s">
        <v>482</v>
      </c>
      <c r="K429" s="61" t="s">
        <v>483</v>
      </c>
      <c r="L429" s="61" t="s">
        <v>484</v>
      </c>
      <c r="M429" s="61" t="s">
        <v>485</v>
      </c>
      <c r="N429" s="15" t="s">
        <v>55</v>
      </c>
    </row>
    <row r="430" spans="1:14" ht="20.100000000000001" customHeight="1">
      <c r="A430" s="162"/>
      <c r="B430" s="17">
        <v>0</v>
      </c>
      <c r="C430" s="36" t="str">
        <f>$C$11</f>
        <v>Pão</v>
      </c>
      <c r="D430" s="28"/>
      <c r="E430" s="70" t="s">
        <v>25</v>
      </c>
      <c r="F430" s="163" t="s">
        <v>98</v>
      </c>
      <c r="G430" s="164"/>
      <c r="H430" s="164"/>
      <c r="I430" s="164"/>
      <c r="J430" s="164"/>
      <c r="K430" s="164"/>
      <c r="L430" s="164"/>
      <c r="M430" s="165"/>
      <c r="N430" s="14"/>
    </row>
    <row r="431" spans="1:14" ht="20.100000000000001" customHeight="1">
      <c r="A431" s="30"/>
      <c r="B431" s="26">
        <v>0</v>
      </c>
      <c r="C431" s="31"/>
      <c r="D431" s="28"/>
      <c r="E431" s="71"/>
      <c r="F431" s="32"/>
      <c r="G431" s="32"/>
      <c r="H431" s="32"/>
      <c r="I431" s="32"/>
      <c r="J431" s="32"/>
      <c r="K431" s="32"/>
      <c r="L431" s="32"/>
      <c r="M431" s="32"/>
      <c r="N431" s="4"/>
    </row>
    <row r="432" spans="1:14" ht="20.100000000000001" customHeight="1" thickBot="1">
      <c r="A432" s="33"/>
      <c r="B432" s="17">
        <v>0</v>
      </c>
      <c r="C432" s="34"/>
      <c r="D432" s="28"/>
      <c r="E432" s="68"/>
      <c r="F432" s="39" t="s">
        <v>87</v>
      </c>
      <c r="G432" s="39" t="s">
        <v>88</v>
      </c>
      <c r="H432" s="39" t="s">
        <v>89</v>
      </c>
      <c r="I432" s="39" t="s">
        <v>90</v>
      </c>
      <c r="J432" s="39" t="s">
        <v>91</v>
      </c>
      <c r="K432" s="39" t="s">
        <v>476</v>
      </c>
      <c r="L432" s="39" t="s">
        <v>477</v>
      </c>
      <c r="M432" s="39" t="s">
        <v>93</v>
      </c>
      <c r="N432" s="11"/>
    </row>
    <row r="433" spans="1:14" ht="20.100000000000001" customHeight="1" thickTop="1">
      <c r="A433" s="161" t="s">
        <v>24</v>
      </c>
      <c r="B433" s="26">
        <v>0</v>
      </c>
      <c r="C433" s="35" t="str">
        <f>$C$7</f>
        <v>Sopa</v>
      </c>
      <c r="D433" s="28"/>
      <c r="E433" s="70" t="s">
        <v>75</v>
      </c>
      <c r="F433" s="40">
        <v>867.6</v>
      </c>
      <c r="G433" s="40">
        <v>207.4</v>
      </c>
      <c r="H433" s="40">
        <v>3.7</v>
      </c>
      <c r="I433" s="40">
        <v>0.6</v>
      </c>
      <c r="J433" s="40">
        <v>31.3</v>
      </c>
      <c r="K433" s="40">
        <v>4.2</v>
      </c>
      <c r="L433" s="40">
        <v>11.5</v>
      </c>
      <c r="M433" s="40">
        <v>0.2</v>
      </c>
      <c r="N433" s="15" t="s">
        <v>55</v>
      </c>
    </row>
    <row r="434" spans="1:14" ht="42.75" customHeight="1">
      <c r="A434" s="162"/>
      <c r="B434" s="17">
        <v>0</v>
      </c>
      <c r="C434" s="42" t="s">
        <v>18</v>
      </c>
      <c r="D434" s="28"/>
      <c r="E434" s="70" t="s">
        <v>423</v>
      </c>
      <c r="F434" s="60">
        <v>498.1</v>
      </c>
      <c r="G434" s="60">
        <v>119.1</v>
      </c>
      <c r="H434" s="60">
        <v>3.9</v>
      </c>
      <c r="I434" s="60">
        <v>0.7</v>
      </c>
      <c r="J434" s="60">
        <v>13.5</v>
      </c>
      <c r="K434" s="60">
        <v>2.6</v>
      </c>
      <c r="L434" s="60">
        <v>7.4</v>
      </c>
      <c r="M434" s="60">
        <v>0.1</v>
      </c>
      <c r="N434" s="15" t="s">
        <v>55</v>
      </c>
    </row>
    <row r="435" spans="1:14" ht="20.100000000000001" customHeight="1">
      <c r="A435" s="162"/>
      <c r="B435" s="26">
        <v>0</v>
      </c>
      <c r="C435" s="42" t="s">
        <v>373</v>
      </c>
      <c r="D435" s="28"/>
      <c r="E435" s="70" t="s">
        <v>151</v>
      </c>
      <c r="F435" s="40">
        <f>30+22.4+40</f>
        <v>92.4</v>
      </c>
      <c r="G435" s="40">
        <f>7.2+7.7+9.6</f>
        <v>24.5</v>
      </c>
      <c r="H435" s="40">
        <v>0.2</v>
      </c>
      <c r="I435" s="40">
        <v>0</v>
      </c>
      <c r="J435" s="40">
        <f>1.4+1.8+1.8</f>
        <v>5</v>
      </c>
      <c r="K435" s="40">
        <f>1.4+1.6+1.8</f>
        <v>4.8</v>
      </c>
      <c r="L435" s="40">
        <f>0.4+0.2+0.4</f>
        <v>1</v>
      </c>
      <c r="M435" s="40">
        <v>0.2</v>
      </c>
      <c r="N435" s="15" t="s">
        <v>55</v>
      </c>
    </row>
    <row r="436" spans="1:14" ht="20.100000000000001" customHeight="1">
      <c r="A436" s="162"/>
      <c r="B436" s="17">
        <v>0</v>
      </c>
      <c r="C436" s="36" t="str">
        <f>$C$10</f>
        <v>Sobremesa</v>
      </c>
      <c r="D436" s="28"/>
      <c r="E436" s="70" t="s">
        <v>26</v>
      </c>
      <c r="F436" s="40">
        <v>319.7</v>
      </c>
      <c r="G436" s="61">
        <v>76.400000000000006</v>
      </c>
      <c r="H436" s="61">
        <v>0.5</v>
      </c>
      <c r="I436" s="61">
        <v>0.2</v>
      </c>
      <c r="J436" s="61">
        <v>16.899999999999999</v>
      </c>
      <c r="K436" s="61">
        <v>16.7</v>
      </c>
      <c r="L436" s="61">
        <v>1.1000000000000001</v>
      </c>
      <c r="M436" s="61">
        <v>0</v>
      </c>
      <c r="N436" s="15" t="s">
        <v>55</v>
      </c>
    </row>
    <row r="437" spans="1:14" ht="20.100000000000001" customHeight="1">
      <c r="A437" s="162"/>
      <c r="B437" s="26">
        <v>0</v>
      </c>
      <c r="C437" s="36" t="str">
        <f>$C$11</f>
        <v>Pão</v>
      </c>
      <c r="D437" s="28"/>
      <c r="E437" s="70" t="s">
        <v>25</v>
      </c>
      <c r="F437" s="163" t="s">
        <v>95</v>
      </c>
      <c r="G437" s="164"/>
      <c r="H437" s="164"/>
      <c r="I437" s="164"/>
      <c r="J437" s="164"/>
      <c r="K437" s="164"/>
      <c r="L437" s="164"/>
      <c r="M437" s="165"/>
      <c r="N437" s="14"/>
    </row>
    <row r="438" spans="1:14" ht="123" customHeight="1">
      <c r="A438" s="166" t="str">
        <f>+A$40</f>
        <v xml:space="preserve">
A sua refeição contém ou pode conter as seguintes substâncias ou produtos e seus derivados: 1Cereais que contêm glúten, 2Crustáceos , 3Ovos, 4Peixes, 5Amendoins, 6Soja, 7Leite, 8Frutos de casca rija, 9Aipo, 10Mostarda, 11Sementes de sésamo, 12Dióxido de enxofre e sulfitos, 13Tremoço, 14Moluscos. 
Para quem não é alérgico ou intolerante, estas substâncias ou produtos são completamente inofensivas. 
Caso necessite informação adicional sobre os produtos em causa deve solicitar aos funcionários.
Declaração nutricional: valores médios de 100 g ou 100 ml, calculados a partir dos valores médios conhecidos dos ingredientes utilizados, segundo o Instituto Nacional de Saúde Dr. Ricardo Jorge, Tabela da Composição de Alimentos (2007), e a informação disponibilizada pelos fornecedores.
Legenda: VE - Valor energético, Líp. - Lípidos, AG Sat. - Ácidos Gordos Saturados, HC - Hidratos de Carbono, Prot. - Proteínas.
</v>
      </c>
      <c r="B438" s="167"/>
      <c r="C438" s="167"/>
      <c r="D438" s="167"/>
      <c r="E438" s="167"/>
      <c r="F438" s="167"/>
      <c r="G438" s="167"/>
      <c r="H438" s="167"/>
      <c r="I438" s="167"/>
      <c r="J438" s="167"/>
      <c r="K438" s="167"/>
      <c r="L438" s="167"/>
      <c r="M438" s="167"/>
      <c r="N438" s="5"/>
    </row>
    <row r="439" spans="1:14" ht="39.950000000000003" customHeight="1">
      <c r="B439" s="26">
        <v>0</v>
      </c>
      <c r="C439" s="63" t="s">
        <v>112</v>
      </c>
      <c r="D439" s="24"/>
      <c r="E439" s="72" t="s">
        <v>385</v>
      </c>
      <c r="F439" s="37"/>
      <c r="G439" s="37"/>
      <c r="H439" s="37"/>
      <c r="I439" s="37"/>
      <c r="J439" s="37"/>
      <c r="K439" s="37"/>
      <c r="L439" s="37"/>
      <c r="M439" s="37"/>
      <c r="N439" s="1"/>
    </row>
    <row r="440" spans="1:14" ht="20.100000000000001" customHeight="1" thickBot="1">
      <c r="B440" s="17">
        <v>0</v>
      </c>
      <c r="E440" s="68"/>
      <c r="F440" s="39" t="s">
        <v>87</v>
      </c>
      <c r="G440" s="39" t="s">
        <v>88</v>
      </c>
      <c r="H440" s="39" t="s">
        <v>89</v>
      </c>
      <c r="I440" s="39" t="s">
        <v>90</v>
      </c>
      <c r="J440" s="39" t="s">
        <v>91</v>
      </c>
      <c r="K440" s="39" t="s">
        <v>476</v>
      </c>
      <c r="L440" s="39" t="s">
        <v>477</v>
      </c>
      <c r="M440" s="39" t="s">
        <v>93</v>
      </c>
      <c r="N440" s="3"/>
    </row>
    <row r="441" spans="1:14" ht="20.100000000000001" customHeight="1" thickTop="1">
      <c r="A441" s="161" t="s">
        <v>16</v>
      </c>
      <c r="B441" s="26">
        <v>0</v>
      </c>
      <c r="C441" s="27" t="s">
        <v>17</v>
      </c>
      <c r="D441" s="28"/>
      <c r="E441" s="70" t="s">
        <v>52</v>
      </c>
      <c r="F441" s="40">
        <v>447.2</v>
      </c>
      <c r="G441" s="40">
        <v>106.9</v>
      </c>
      <c r="H441" s="40">
        <v>3.2</v>
      </c>
      <c r="I441" s="40">
        <v>0.5</v>
      </c>
      <c r="J441" s="40">
        <v>16.100000000000001</v>
      </c>
      <c r="K441" s="40">
        <v>4.8</v>
      </c>
      <c r="L441" s="40">
        <v>3.1</v>
      </c>
      <c r="M441" s="40">
        <v>0.2</v>
      </c>
      <c r="N441" s="15" t="s">
        <v>55</v>
      </c>
    </row>
    <row r="442" spans="1:14" ht="18" customHeight="1">
      <c r="A442" s="162"/>
      <c r="B442" s="17">
        <v>0</v>
      </c>
      <c r="C442" s="42" t="s">
        <v>18</v>
      </c>
      <c r="D442" s="28"/>
      <c r="E442" s="70" t="s">
        <v>424</v>
      </c>
      <c r="F442" s="60">
        <v>1704.2</v>
      </c>
      <c r="G442" s="60">
        <v>407.3</v>
      </c>
      <c r="H442" s="60">
        <v>2.4</v>
      </c>
      <c r="I442" s="60">
        <v>0.5</v>
      </c>
      <c r="J442" s="60">
        <v>72.8</v>
      </c>
      <c r="K442" s="60">
        <v>8.4</v>
      </c>
      <c r="L442" s="60">
        <v>22</v>
      </c>
      <c r="M442" s="60">
        <v>0.2</v>
      </c>
      <c r="N442" s="15" t="s">
        <v>55</v>
      </c>
    </row>
    <row r="443" spans="1:14" ht="20.100000000000001" customHeight="1">
      <c r="A443" s="162"/>
      <c r="B443" s="26">
        <v>0</v>
      </c>
      <c r="C443" s="42" t="s">
        <v>373</v>
      </c>
      <c r="D443" s="28"/>
      <c r="E443" s="70" t="s">
        <v>455</v>
      </c>
      <c r="F443" s="40">
        <f>163.3+23+40</f>
        <v>226.3</v>
      </c>
      <c r="G443" s="40">
        <f>39.2+5.5+9.6</f>
        <v>54.300000000000004</v>
      </c>
      <c r="H443" s="40">
        <f>0.5+0.2+0.2</f>
        <v>0.89999999999999991</v>
      </c>
      <c r="I443" s="40">
        <v>0</v>
      </c>
      <c r="J443" s="40">
        <f>7.1+0.7+1.8</f>
        <v>9.6</v>
      </c>
      <c r="K443" s="40">
        <f>0.6+1.8</f>
        <v>2.4</v>
      </c>
      <c r="L443" s="40">
        <f>1.5+0.4+0.4</f>
        <v>2.2999999999999998</v>
      </c>
      <c r="M443" s="40">
        <v>0</v>
      </c>
      <c r="N443" s="15" t="s">
        <v>55</v>
      </c>
    </row>
    <row r="444" spans="1:14" ht="20.100000000000001" customHeight="1">
      <c r="A444" s="162"/>
      <c r="B444" s="17">
        <v>0</v>
      </c>
      <c r="C444" s="29" t="s">
        <v>19</v>
      </c>
      <c r="D444" s="28"/>
      <c r="E444" s="70" t="s">
        <v>159</v>
      </c>
      <c r="F444" s="40" t="s">
        <v>478</v>
      </c>
      <c r="G444" s="61" t="s">
        <v>479</v>
      </c>
      <c r="H444" s="61" t="s">
        <v>480</v>
      </c>
      <c r="I444" s="61" t="s">
        <v>481</v>
      </c>
      <c r="J444" s="61" t="s">
        <v>482</v>
      </c>
      <c r="K444" s="61" t="s">
        <v>483</v>
      </c>
      <c r="L444" s="61" t="s">
        <v>484</v>
      </c>
      <c r="M444" s="61" t="s">
        <v>485</v>
      </c>
      <c r="N444" s="15" t="s">
        <v>55</v>
      </c>
    </row>
    <row r="445" spans="1:14" ht="20.100000000000001" customHeight="1">
      <c r="A445" s="162"/>
      <c r="B445" s="26">
        <v>0</v>
      </c>
      <c r="C445" s="29" t="s">
        <v>20</v>
      </c>
      <c r="D445" s="28"/>
      <c r="E445" s="70" t="s">
        <v>25</v>
      </c>
      <c r="F445" s="163" t="s">
        <v>95</v>
      </c>
      <c r="G445" s="164"/>
      <c r="H445" s="164"/>
      <c r="I445" s="164"/>
      <c r="J445" s="164"/>
      <c r="K445" s="164"/>
      <c r="L445" s="164"/>
      <c r="M445" s="165"/>
      <c r="N445" s="14"/>
    </row>
    <row r="446" spans="1:14" ht="20.100000000000001" customHeight="1">
      <c r="A446" s="30"/>
      <c r="B446" s="17">
        <v>0</v>
      </c>
      <c r="C446" s="31"/>
      <c r="D446" s="28"/>
      <c r="E446" s="74"/>
      <c r="F446" s="32"/>
      <c r="G446" s="32"/>
      <c r="H446" s="32"/>
      <c r="I446" s="32"/>
      <c r="J446" s="32"/>
      <c r="K446" s="32"/>
      <c r="L446" s="32"/>
      <c r="M446" s="32"/>
      <c r="N446" s="4"/>
    </row>
    <row r="447" spans="1:14" ht="20.100000000000001" customHeight="1" thickBot="1">
      <c r="A447" s="33"/>
      <c r="B447" s="26">
        <v>0</v>
      </c>
      <c r="C447" s="34"/>
      <c r="D447" s="28"/>
      <c r="E447" s="74"/>
      <c r="F447" s="39" t="s">
        <v>87</v>
      </c>
      <c r="G447" s="39" t="s">
        <v>88</v>
      </c>
      <c r="H447" s="39" t="s">
        <v>89</v>
      </c>
      <c r="I447" s="39" t="s">
        <v>90</v>
      </c>
      <c r="J447" s="39" t="s">
        <v>91</v>
      </c>
      <c r="K447" s="39" t="s">
        <v>476</v>
      </c>
      <c r="L447" s="39" t="s">
        <v>477</v>
      </c>
      <c r="M447" s="39" t="s">
        <v>93</v>
      </c>
      <c r="N447" s="11"/>
    </row>
    <row r="448" spans="1:14" ht="20.100000000000001" customHeight="1" thickTop="1">
      <c r="A448" s="161" t="s">
        <v>21</v>
      </c>
      <c r="B448" s="17">
        <v>0</v>
      </c>
      <c r="C448" s="35" t="str">
        <f>$C$7</f>
        <v>Sopa</v>
      </c>
      <c r="D448" s="28"/>
      <c r="E448" s="70" t="s">
        <v>34</v>
      </c>
      <c r="F448" s="40">
        <v>514.1</v>
      </c>
      <c r="G448" s="40">
        <v>122.9</v>
      </c>
      <c r="H448" s="40">
        <v>3.4</v>
      </c>
      <c r="I448" s="40">
        <v>0.5</v>
      </c>
      <c r="J448" s="40">
        <v>18.2</v>
      </c>
      <c r="K448" s="40">
        <v>4.7</v>
      </c>
      <c r="L448" s="40">
        <v>4.5999999999999996</v>
      </c>
      <c r="M448" s="40">
        <v>0.2</v>
      </c>
      <c r="N448" s="15" t="s">
        <v>55</v>
      </c>
    </row>
    <row r="449" spans="1:14" ht="42" customHeight="1">
      <c r="A449" s="162"/>
      <c r="B449" s="26">
        <v>0</v>
      </c>
      <c r="C449" s="42" t="s">
        <v>18</v>
      </c>
      <c r="D449" s="28"/>
      <c r="E449" s="70" t="s">
        <v>425</v>
      </c>
      <c r="F449" s="40">
        <f>176.7+1029.5</f>
        <v>1206.2</v>
      </c>
      <c r="G449" s="40">
        <f>42.2+246</f>
        <v>288.2</v>
      </c>
      <c r="H449" s="40">
        <f>3.4+3.3</f>
        <v>6.6999999999999993</v>
      </c>
      <c r="I449" s="40">
        <f>0.5+0.5</f>
        <v>1</v>
      </c>
      <c r="J449" s="40">
        <f>1.4+48.5</f>
        <v>49.9</v>
      </c>
      <c r="K449" s="40">
        <f>1.1+1.5</f>
        <v>2.6</v>
      </c>
      <c r="L449" s="40">
        <f>1.6+4.3</f>
        <v>5.9</v>
      </c>
      <c r="M449" s="40">
        <v>0.3</v>
      </c>
      <c r="N449" s="15" t="s">
        <v>55</v>
      </c>
    </row>
    <row r="450" spans="1:14" ht="20.100000000000001" customHeight="1">
      <c r="A450" s="162"/>
      <c r="B450" s="17">
        <v>0</v>
      </c>
      <c r="C450" s="42" t="s">
        <v>373</v>
      </c>
      <c r="D450" s="28"/>
      <c r="E450" s="70" t="s">
        <v>28</v>
      </c>
      <c r="F450" s="40">
        <f>20+28.5+163.3</f>
        <v>211.8</v>
      </c>
      <c r="G450" s="40">
        <f>4.8+6.8+39.2</f>
        <v>50.800000000000004</v>
      </c>
      <c r="H450" s="40">
        <v>0.6</v>
      </c>
      <c r="I450" s="40">
        <v>0</v>
      </c>
      <c r="J450" s="40">
        <f>0.3+1.2+7.1</f>
        <v>8.6</v>
      </c>
      <c r="K450" s="40">
        <f>0.3+1</f>
        <v>1.3</v>
      </c>
      <c r="L450" s="40">
        <f>0.7+0.6+1.5</f>
        <v>2.8</v>
      </c>
      <c r="M450" s="40">
        <v>0</v>
      </c>
      <c r="N450" s="15" t="s">
        <v>55</v>
      </c>
    </row>
    <row r="451" spans="1:14" ht="20.100000000000001" customHeight="1">
      <c r="A451" s="162"/>
      <c r="B451" s="26">
        <v>0</v>
      </c>
      <c r="C451" s="36" t="str">
        <f>$C$10</f>
        <v>Sobremesa</v>
      </c>
      <c r="D451" s="28"/>
      <c r="E451" s="70" t="s">
        <v>26</v>
      </c>
      <c r="F451" s="40">
        <v>319.7</v>
      </c>
      <c r="G451" s="61">
        <v>76.400000000000006</v>
      </c>
      <c r="H451" s="61">
        <v>0.5</v>
      </c>
      <c r="I451" s="61">
        <v>0.2</v>
      </c>
      <c r="J451" s="61">
        <v>16.899999999999999</v>
      </c>
      <c r="K451" s="61">
        <v>16.7</v>
      </c>
      <c r="L451" s="61">
        <v>1.1000000000000001</v>
      </c>
      <c r="M451" s="61">
        <v>0</v>
      </c>
      <c r="N451" s="15" t="s">
        <v>55</v>
      </c>
    </row>
    <row r="452" spans="1:14" ht="20.100000000000001" customHeight="1">
      <c r="A452" s="162"/>
      <c r="B452" s="17">
        <v>0</v>
      </c>
      <c r="C452" s="36" t="str">
        <f>$C$11</f>
        <v>Pão</v>
      </c>
      <c r="D452" s="28"/>
      <c r="E452" s="70" t="s">
        <v>25</v>
      </c>
      <c r="F452" s="163" t="s">
        <v>95</v>
      </c>
      <c r="G452" s="164"/>
      <c r="H452" s="164"/>
      <c r="I452" s="164"/>
      <c r="J452" s="164"/>
      <c r="K452" s="164"/>
      <c r="L452" s="164"/>
      <c r="M452" s="165"/>
      <c r="N452" s="14"/>
    </row>
    <row r="453" spans="1:14" ht="20.100000000000001" customHeight="1">
      <c r="A453" s="30"/>
      <c r="B453" s="26">
        <v>0</v>
      </c>
      <c r="C453" s="31"/>
      <c r="D453" s="28"/>
      <c r="E453" s="74"/>
      <c r="F453" s="32"/>
      <c r="G453" s="32"/>
      <c r="H453" s="32"/>
      <c r="I453" s="32"/>
      <c r="J453" s="32"/>
      <c r="K453" s="32"/>
      <c r="L453" s="32"/>
      <c r="M453" s="32"/>
      <c r="N453" s="4"/>
    </row>
    <row r="454" spans="1:14" ht="20.100000000000001" customHeight="1" thickBot="1">
      <c r="A454" s="33"/>
      <c r="B454" s="17">
        <v>0</v>
      </c>
      <c r="C454" s="34"/>
      <c r="D454" s="28"/>
      <c r="E454" s="74"/>
      <c r="F454" s="39" t="s">
        <v>87</v>
      </c>
      <c r="G454" s="39" t="s">
        <v>88</v>
      </c>
      <c r="H454" s="39" t="s">
        <v>89</v>
      </c>
      <c r="I454" s="39" t="s">
        <v>90</v>
      </c>
      <c r="J454" s="39" t="s">
        <v>91</v>
      </c>
      <c r="K454" s="39" t="s">
        <v>476</v>
      </c>
      <c r="L454" s="39" t="s">
        <v>477</v>
      </c>
      <c r="M454" s="39" t="s">
        <v>93</v>
      </c>
      <c r="N454" s="11"/>
    </row>
    <row r="455" spans="1:14" ht="20.100000000000001" customHeight="1" thickTop="1">
      <c r="A455" s="161" t="s">
        <v>22</v>
      </c>
      <c r="B455" s="26">
        <v>0</v>
      </c>
      <c r="C455" s="35" t="str">
        <f>$C$7</f>
        <v>Sopa</v>
      </c>
      <c r="D455" s="28"/>
      <c r="E455" s="70" t="s">
        <v>158</v>
      </c>
      <c r="F455" s="40">
        <v>886.6</v>
      </c>
      <c r="G455" s="40">
        <v>212.1</v>
      </c>
      <c r="H455" s="40">
        <v>3.7</v>
      </c>
      <c r="I455" s="40">
        <v>0.6</v>
      </c>
      <c r="J455" s="40">
        <v>32.700000000000003</v>
      </c>
      <c r="K455" s="40">
        <v>5</v>
      </c>
      <c r="L455" s="40">
        <v>11.4</v>
      </c>
      <c r="M455" s="40">
        <v>0.2</v>
      </c>
      <c r="N455" s="15" t="s">
        <v>55</v>
      </c>
    </row>
    <row r="456" spans="1:14" ht="18.75" customHeight="1">
      <c r="A456" s="162"/>
      <c r="B456" s="17">
        <v>0</v>
      </c>
      <c r="C456" s="42" t="s">
        <v>18</v>
      </c>
      <c r="D456" s="28"/>
      <c r="E456" s="70" t="s">
        <v>426</v>
      </c>
      <c r="F456" s="60">
        <f>501.8+1007.1</f>
        <v>1508.9</v>
      </c>
      <c r="G456" s="60">
        <f>119.9+240.7</f>
        <v>360.6</v>
      </c>
      <c r="H456" s="60">
        <v>3.4</v>
      </c>
      <c r="I456" s="60">
        <v>0.5</v>
      </c>
      <c r="J456" s="60">
        <f>13.9+51.8</f>
        <v>65.7</v>
      </c>
      <c r="K456" s="60">
        <f>2.1+3.2</f>
        <v>5.3000000000000007</v>
      </c>
      <c r="L456" s="60">
        <f>8.3+6.8</f>
        <v>15.100000000000001</v>
      </c>
      <c r="M456" s="60">
        <v>0.3</v>
      </c>
      <c r="N456" s="15" t="s">
        <v>55</v>
      </c>
    </row>
    <row r="457" spans="1:14" ht="20.100000000000001" customHeight="1">
      <c r="A457" s="162"/>
      <c r="B457" s="26">
        <v>0</v>
      </c>
      <c r="C457" s="42" t="s">
        <v>373</v>
      </c>
      <c r="D457" s="28"/>
      <c r="E457" s="70" t="s">
        <v>374</v>
      </c>
      <c r="F457" s="40">
        <f>64.8+25.6+40</f>
        <v>130.4</v>
      </c>
      <c r="G457" s="40">
        <f>15.5+6.1+9.6</f>
        <v>31.200000000000003</v>
      </c>
      <c r="H457" s="40">
        <v>0.6</v>
      </c>
      <c r="I457" s="40">
        <v>0.1</v>
      </c>
      <c r="J457" s="40">
        <f>1.7+0.6+1.8</f>
        <v>4.0999999999999996</v>
      </c>
      <c r="K457" s="40">
        <f>1.6+0.6+1.8</f>
        <v>4</v>
      </c>
      <c r="L457" s="40">
        <f>1.9+0.5+0.4</f>
        <v>2.8</v>
      </c>
      <c r="M457" s="40">
        <v>0</v>
      </c>
      <c r="N457" s="15" t="s">
        <v>55</v>
      </c>
    </row>
    <row r="458" spans="1:14" ht="20.100000000000001" customHeight="1">
      <c r="A458" s="162"/>
      <c r="B458" s="17">
        <v>0</v>
      </c>
      <c r="C458" s="36" t="str">
        <f>$C$10</f>
        <v>Sobremesa</v>
      </c>
      <c r="D458" s="28"/>
      <c r="E458" s="70" t="s">
        <v>38</v>
      </c>
      <c r="F458" s="40">
        <v>319.7</v>
      </c>
      <c r="G458" s="61">
        <v>76.400000000000006</v>
      </c>
      <c r="H458" s="61">
        <v>0.5</v>
      </c>
      <c r="I458" s="61">
        <v>0.2</v>
      </c>
      <c r="J458" s="61">
        <v>16.899999999999999</v>
      </c>
      <c r="K458" s="61">
        <v>16.7</v>
      </c>
      <c r="L458" s="61">
        <v>1.1000000000000001</v>
      </c>
      <c r="M458" s="61">
        <v>0</v>
      </c>
      <c r="N458" s="15" t="s">
        <v>55</v>
      </c>
    </row>
    <row r="459" spans="1:14" ht="20.100000000000001" customHeight="1">
      <c r="A459" s="162"/>
      <c r="B459" s="26">
        <v>0</v>
      </c>
      <c r="C459" s="36" t="str">
        <f>$C$11</f>
        <v>Pão</v>
      </c>
      <c r="D459" s="28"/>
      <c r="E459" s="70" t="s">
        <v>25</v>
      </c>
      <c r="F459" s="163" t="s">
        <v>95</v>
      </c>
      <c r="G459" s="164"/>
      <c r="H459" s="164"/>
      <c r="I459" s="164"/>
      <c r="J459" s="164"/>
      <c r="K459" s="164"/>
      <c r="L459" s="164"/>
      <c r="M459" s="165"/>
      <c r="N459" s="14"/>
    </row>
    <row r="460" spans="1:14" ht="20.100000000000001" customHeight="1">
      <c r="A460" s="30"/>
      <c r="B460" s="17">
        <v>0</v>
      </c>
      <c r="C460" s="31"/>
      <c r="D460" s="28"/>
      <c r="E460" s="74"/>
      <c r="F460" s="32"/>
      <c r="G460" s="32"/>
      <c r="H460" s="32"/>
      <c r="I460" s="32"/>
      <c r="J460" s="32"/>
      <c r="K460" s="32"/>
      <c r="L460" s="32"/>
      <c r="M460" s="32"/>
      <c r="N460" s="4"/>
    </row>
    <row r="461" spans="1:14" ht="20.100000000000001" customHeight="1" thickBot="1">
      <c r="A461" s="33"/>
      <c r="B461" s="26">
        <v>0</v>
      </c>
      <c r="C461" s="34"/>
      <c r="D461" s="28"/>
      <c r="E461" s="74"/>
      <c r="F461" s="39" t="s">
        <v>87</v>
      </c>
      <c r="G461" s="39" t="s">
        <v>88</v>
      </c>
      <c r="H461" s="39" t="s">
        <v>89</v>
      </c>
      <c r="I461" s="39" t="s">
        <v>90</v>
      </c>
      <c r="J461" s="39" t="s">
        <v>91</v>
      </c>
      <c r="K461" s="39" t="s">
        <v>476</v>
      </c>
      <c r="L461" s="39" t="s">
        <v>477</v>
      </c>
      <c r="M461" s="39" t="s">
        <v>93</v>
      </c>
      <c r="N461" s="11"/>
    </row>
    <row r="462" spans="1:14" ht="20.100000000000001" customHeight="1" thickTop="1">
      <c r="A462" s="161" t="s">
        <v>23</v>
      </c>
      <c r="B462" s="17">
        <v>0</v>
      </c>
      <c r="C462" s="35" t="str">
        <f>$C$7</f>
        <v>Sopa</v>
      </c>
      <c r="D462" s="28"/>
      <c r="E462" s="76" t="s">
        <v>29</v>
      </c>
      <c r="F462" s="40">
        <v>465.7</v>
      </c>
      <c r="G462" s="40">
        <v>111.3</v>
      </c>
      <c r="H462" s="40">
        <v>3.6</v>
      </c>
      <c r="I462" s="40">
        <v>0.6</v>
      </c>
      <c r="J462" s="40">
        <v>15.8</v>
      </c>
      <c r="K462" s="40">
        <v>4.2</v>
      </c>
      <c r="L462" s="40">
        <v>3.8</v>
      </c>
      <c r="M462" s="40">
        <v>0.3</v>
      </c>
      <c r="N462" s="15" t="s">
        <v>55</v>
      </c>
    </row>
    <row r="463" spans="1:14" ht="47.25" customHeight="1">
      <c r="A463" s="162"/>
      <c r="B463" s="26">
        <v>0</v>
      </c>
      <c r="C463" s="42" t="s">
        <v>18</v>
      </c>
      <c r="D463" s="28"/>
      <c r="E463" s="76" t="s">
        <v>467</v>
      </c>
      <c r="F463" s="40">
        <f>1232.2+1198.4</f>
        <v>2430.6000000000004</v>
      </c>
      <c r="G463" s="40">
        <f>294.5+286.4</f>
        <v>580.9</v>
      </c>
      <c r="H463" s="40">
        <f>7+1.5</f>
        <v>8.5</v>
      </c>
      <c r="I463" s="40">
        <f>0.8+0.3</f>
        <v>1.1000000000000001</v>
      </c>
      <c r="J463" s="40">
        <f>56.9+41.4</f>
        <v>98.3</v>
      </c>
      <c r="K463" s="40">
        <f>2.5+2.5</f>
        <v>5</v>
      </c>
      <c r="L463" s="40">
        <f>9.7+15.3</f>
        <v>25</v>
      </c>
      <c r="M463" s="40">
        <v>0.2</v>
      </c>
      <c r="N463" s="15" t="s">
        <v>55</v>
      </c>
    </row>
    <row r="464" spans="1:14" ht="20.100000000000001" customHeight="1">
      <c r="A464" s="162"/>
      <c r="B464" s="17">
        <v>0</v>
      </c>
      <c r="C464" s="42" t="s">
        <v>373</v>
      </c>
      <c r="D464" s="28"/>
      <c r="E464" s="76" t="s">
        <v>33</v>
      </c>
      <c r="F464" s="40">
        <f>20+30+22.4</f>
        <v>72.400000000000006</v>
      </c>
      <c r="G464" s="40">
        <f>4.8+7.2+7.7</f>
        <v>19.7</v>
      </c>
      <c r="H464" s="40">
        <v>0.1</v>
      </c>
      <c r="I464" s="40">
        <v>0</v>
      </c>
      <c r="J464" s="40">
        <f>0.3+1.4+1.8</f>
        <v>3.5</v>
      </c>
      <c r="K464" s="40">
        <f>0.3+1.4+1.6</f>
        <v>3.3</v>
      </c>
      <c r="L464" s="40">
        <f>0.7+0.4+0.2</f>
        <v>1.3</v>
      </c>
      <c r="M464" s="40">
        <v>0.2</v>
      </c>
      <c r="N464" s="15" t="s">
        <v>55</v>
      </c>
    </row>
    <row r="465" spans="1:16" ht="20.100000000000001" customHeight="1">
      <c r="A465" s="162"/>
      <c r="B465" s="26">
        <v>0</v>
      </c>
      <c r="C465" s="36" t="str">
        <f>$C$10</f>
        <v>Sobremesa</v>
      </c>
      <c r="D465" s="28"/>
      <c r="E465" s="70" t="s">
        <v>38</v>
      </c>
      <c r="F465" s="40">
        <v>319.7</v>
      </c>
      <c r="G465" s="61">
        <v>76.400000000000006</v>
      </c>
      <c r="H465" s="61">
        <v>0.5</v>
      </c>
      <c r="I465" s="61">
        <v>0.2</v>
      </c>
      <c r="J465" s="61">
        <v>16.899999999999999</v>
      </c>
      <c r="K465" s="61">
        <v>16.7</v>
      </c>
      <c r="L465" s="61">
        <v>1.1000000000000001</v>
      </c>
      <c r="M465" s="61">
        <v>0</v>
      </c>
      <c r="N465" s="15" t="s">
        <v>55</v>
      </c>
    </row>
    <row r="466" spans="1:16" ht="19.5" customHeight="1">
      <c r="A466" s="162"/>
      <c r="B466" s="17">
        <v>0</v>
      </c>
      <c r="C466" s="36" t="str">
        <f>$C$11</f>
        <v>Pão</v>
      </c>
      <c r="D466" s="28"/>
      <c r="E466" s="70" t="s">
        <v>25</v>
      </c>
      <c r="F466" s="163" t="s">
        <v>95</v>
      </c>
      <c r="G466" s="164"/>
      <c r="H466" s="164"/>
      <c r="I466" s="164"/>
      <c r="J466" s="164"/>
      <c r="K466" s="164"/>
      <c r="L466" s="164"/>
      <c r="M466" s="165"/>
      <c r="N466" s="14"/>
    </row>
    <row r="467" spans="1:16" ht="20.100000000000001" customHeight="1">
      <c r="A467" s="30"/>
      <c r="B467" s="26">
        <v>0</v>
      </c>
      <c r="C467" s="31"/>
      <c r="D467" s="28"/>
      <c r="E467" s="71"/>
      <c r="F467" s="32"/>
      <c r="G467" s="32"/>
      <c r="H467" s="32"/>
      <c r="I467" s="32"/>
      <c r="J467" s="32"/>
      <c r="K467" s="32"/>
      <c r="L467" s="32"/>
      <c r="M467" s="32"/>
      <c r="N467" s="4"/>
    </row>
    <row r="468" spans="1:16" ht="20.100000000000001" customHeight="1" thickBot="1">
      <c r="A468" s="33"/>
      <c r="B468" s="17">
        <v>0</v>
      </c>
      <c r="C468" s="34"/>
      <c r="D468" s="28"/>
      <c r="E468" s="68"/>
      <c r="F468" s="39" t="s">
        <v>87</v>
      </c>
      <c r="G468" s="39" t="s">
        <v>88</v>
      </c>
      <c r="H468" s="39" t="s">
        <v>89</v>
      </c>
      <c r="I468" s="39" t="s">
        <v>90</v>
      </c>
      <c r="J468" s="39" t="s">
        <v>91</v>
      </c>
      <c r="K468" s="39" t="s">
        <v>476</v>
      </c>
      <c r="L468" s="39" t="s">
        <v>477</v>
      </c>
      <c r="M468" s="39" t="s">
        <v>93</v>
      </c>
      <c r="N468" s="11"/>
    </row>
    <row r="469" spans="1:16" ht="20.100000000000001" customHeight="1" thickTop="1">
      <c r="A469" s="161" t="s">
        <v>24</v>
      </c>
      <c r="B469" s="26">
        <v>0</v>
      </c>
      <c r="C469" s="35" t="str">
        <f>$C$7</f>
        <v>Sopa</v>
      </c>
      <c r="D469" s="28"/>
      <c r="E469" s="76" t="s">
        <v>447</v>
      </c>
      <c r="F469" s="40">
        <v>983.7</v>
      </c>
      <c r="G469" s="40">
        <v>235.1</v>
      </c>
      <c r="H469" s="40">
        <v>5.4</v>
      </c>
      <c r="I469" s="40">
        <v>0.7</v>
      </c>
      <c r="J469" s="40">
        <v>35.200000000000003</v>
      </c>
      <c r="K469" s="40">
        <v>4.5</v>
      </c>
      <c r="L469" s="40">
        <v>10.6</v>
      </c>
      <c r="M469" s="40">
        <v>0.3</v>
      </c>
      <c r="N469" s="15" t="s">
        <v>55</v>
      </c>
    </row>
    <row r="470" spans="1:16" ht="50.25" customHeight="1">
      <c r="A470" s="170"/>
      <c r="B470" s="17">
        <v>0</v>
      </c>
      <c r="C470" s="42" t="s">
        <v>18</v>
      </c>
      <c r="D470" s="28"/>
      <c r="E470" s="160" t="s">
        <v>404</v>
      </c>
      <c r="F470" s="60"/>
      <c r="G470" s="60"/>
      <c r="H470" s="60"/>
      <c r="I470" s="60"/>
      <c r="J470" s="60"/>
      <c r="K470" s="60"/>
      <c r="L470" s="60"/>
      <c r="M470" s="60"/>
      <c r="N470" s="15" t="s">
        <v>55</v>
      </c>
      <c r="P470" s="2" t="s">
        <v>727</v>
      </c>
    </row>
    <row r="471" spans="1:16" ht="20.100000000000001" customHeight="1">
      <c r="A471" s="170"/>
      <c r="B471" s="26">
        <v>0</v>
      </c>
      <c r="C471" s="42" t="s">
        <v>373</v>
      </c>
      <c r="D471" s="28"/>
      <c r="E471" s="76" t="s">
        <v>154</v>
      </c>
      <c r="F471" s="40">
        <f>20+163.3+23</f>
        <v>206.3</v>
      </c>
      <c r="G471" s="40">
        <f>4.8+39.2+5.5</f>
        <v>49.5</v>
      </c>
      <c r="H471" s="40">
        <v>0.8</v>
      </c>
      <c r="I471" s="40">
        <v>0</v>
      </c>
      <c r="J471" s="40">
        <f>0.3+0.6</f>
        <v>0.89999999999999991</v>
      </c>
      <c r="K471" s="40">
        <f>0.3+7.1+0.7</f>
        <v>8.1</v>
      </c>
      <c r="L471" s="40">
        <f>0.3+0.6</f>
        <v>0.89999999999999991</v>
      </c>
      <c r="M471" s="40">
        <v>0</v>
      </c>
      <c r="N471" s="15" t="s">
        <v>55</v>
      </c>
    </row>
    <row r="472" spans="1:16" ht="20.100000000000001" customHeight="1">
      <c r="A472" s="170"/>
      <c r="B472" s="17">
        <v>0</v>
      </c>
      <c r="C472" s="36" t="str">
        <f>$C$10</f>
        <v>Sobremesa</v>
      </c>
      <c r="D472" s="28"/>
      <c r="E472" s="70" t="s">
        <v>38</v>
      </c>
      <c r="F472" s="40">
        <v>319.7</v>
      </c>
      <c r="G472" s="61">
        <v>76.400000000000006</v>
      </c>
      <c r="H472" s="61">
        <v>0.5</v>
      </c>
      <c r="I472" s="61">
        <v>0.2</v>
      </c>
      <c r="J472" s="61">
        <v>16.899999999999999</v>
      </c>
      <c r="K472" s="61">
        <v>16.7</v>
      </c>
      <c r="L472" s="61">
        <v>1.1000000000000001</v>
      </c>
      <c r="M472" s="61">
        <v>0</v>
      </c>
      <c r="N472" s="15" t="s">
        <v>55</v>
      </c>
    </row>
    <row r="473" spans="1:16" ht="20.100000000000001" customHeight="1">
      <c r="A473" s="170"/>
      <c r="B473" s="26">
        <v>0</v>
      </c>
      <c r="C473" s="36" t="str">
        <f>$C$11</f>
        <v>Pão</v>
      </c>
      <c r="D473" s="28"/>
      <c r="E473" s="70" t="s">
        <v>25</v>
      </c>
      <c r="F473" s="163" t="s">
        <v>95</v>
      </c>
      <c r="G473" s="164"/>
      <c r="H473" s="164"/>
      <c r="I473" s="164"/>
      <c r="J473" s="164"/>
      <c r="K473" s="164"/>
      <c r="L473" s="164"/>
      <c r="M473" s="165"/>
      <c r="N473" s="14"/>
    </row>
    <row r="474" spans="1:16" ht="123" customHeight="1">
      <c r="A474" s="166" t="str">
        <f>+A$40</f>
        <v xml:space="preserve">
A sua refeição contém ou pode conter as seguintes substâncias ou produtos e seus derivados: 1Cereais que contêm glúten, 2Crustáceos , 3Ovos, 4Peixes, 5Amendoins, 6Soja, 7Leite, 8Frutos de casca rija, 9Aipo, 10Mostarda, 11Sementes de sésamo, 12Dióxido de enxofre e sulfitos, 13Tremoço, 14Moluscos. 
Para quem não é alérgico ou intolerante, estas substâncias ou produtos são completamente inofensivas. 
Caso necessite informação adicional sobre os produtos em causa deve solicitar aos funcionários.
Declaração nutricional: valores médios de 100 g ou 100 ml, calculados a partir dos valores médios conhecidos dos ingredientes utilizados, segundo o Instituto Nacional de Saúde Dr. Ricardo Jorge, Tabela da Composição de Alimentos (2007), e a informação disponibilizada pelos fornecedores.
Legenda: VE - Valor energético, Líp. - Lípidos, AG Sat. - Ácidos Gordos Saturados, HC - Hidratos de Carbono, Prot. - Proteínas.
</v>
      </c>
      <c r="B474" s="166"/>
      <c r="C474" s="166"/>
      <c r="D474" s="166"/>
      <c r="E474" s="166"/>
      <c r="F474" s="166"/>
      <c r="G474" s="166"/>
      <c r="H474" s="166"/>
      <c r="I474" s="166"/>
      <c r="J474" s="166"/>
      <c r="K474" s="166"/>
      <c r="L474" s="166"/>
      <c r="M474" s="166"/>
      <c r="N474" s="5"/>
    </row>
    <row r="475" spans="1:16" ht="39.950000000000003" customHeight="1">
      <c r="B475" s="26">
        <v>0</v>
      </c>
      <c r="C475" s="63" t="s">
        <v>113</v>
      </c>
      <c r="D475" s="24"/>
      <c r="E475" s="72" t="s">
        <v>386</v>
      </c>
      <c r="F475" s="37"/>
      <c r="G475" s="37"/>
      <c r="H475" s="37"/>
      <c r="I475" s="37"/>
      <c r="J475" s="37"/>
      <c r="K475" s="37"/>
      <c r="L475" s="37"/>
      <c r="M475" s="37"/>
      <c r="N475" s="1"/>
    </row>
    <row r="476" spans="1:16" ht="20.100000000000001" customHeight="1" thickBot="1">
      <c r="B476" s="17">
        <v>0</v>
      </c>
      <c r="E476" s="68"/>
      <c r="F476" s="39" t="s">
        <v>87</v>
      </c>
      <c r="G476" s="39" t="s">
        <v>88</v>
      </c>
      <c r="H476" s="39" t="s">
        <v>89</v>
      </c>
      <c r="I476" s="39" t="s">
        <v>90</v>
      </c>
      <c r="J476" s="39" t="s">
        <v>91</v>
      </c>
      <c r="K476" s="39" t="s">
        <v>476</v>
      </c>
      <c r="L476" s="39" t="s">
        <v>477</v>
      </c>
      <c r="M476" s="39" t="s">
        <v>93</v>
      </c>
      <c r="N476" s="3"/>
    </row>
    <row r="477" spans="1:16" ht="20.100000000000001" customHeight="1" thickTop="1">
      <c r="A477" s="161" t="s">
        <v>16</v>
      </c>
      <c r="B477" s="26">
        <v>0</v>
      </c>
      <c r="C477" s="27" t="s">
        <v>17</v>
      </c>
      <c r="D477" s="28"/>
      <c r="E477" s="69" t="s">
        <v>134</v>
      </c>
      <c r="F477" s="40">
        <v>260.60000000000002</v>
      </c>
      <c r="G477" s="40">
        <v>62.3</v>
      </c>
      <c r="H477" s="40">
        <v>3.5</v>
      </c>
      <c r="I477" s="40">
        <v>0.6</v>
      </c>
      <c r="J477" s="40">
        <v>6.1</v>
      </c>
      <c r="K477" s="40">
        <v>5.3</v>
      </c>
      <c r="L477" s="40">
        <v>2</v>
      </c>
      <c r="M477" s="40">
        <v>0.2</v>
      </c>
      <c r="N477" s="15" t="s">
        <v>55</v>
      </c>
    </row>
    <row r="478" spans="1:16" ht="38.25" customHeight="1">
      <c r="A478" s="162"/>
      <c r="B478" s="17">
        <v>0</v>
      </c>
      <c r="C478" s="42" t="s">
        <v>18</v>
      </c>
      <c r="D478" s="28"/>
      <c r="E478" s="69" t="s">
        <v>428</v>
      </c>
      <c r="F478" s="40">
        <f>148.7+1051.4</f>
        <v>1200.1000000000001</v>
      </c>
      <c r="G478" s="40">
        <f>35.6+251.3</f>
        <v>286.90000000000003</v>
      </c>
      <c r="H478" s="40">
        <f>3.3+3.3</f>
        <v>6.6</v>
      </c>
      <c r="I478" s="40">
        <v>1</v>
      </c>
      <c r="J478" s="40">
        <f>0.6+48.9</f>
        <v>49.5</v>
      </c>
      <c r="K478" s="40">
        <f>0.4+1</f>
        <v>1.4</v>
      </c>
      <c r="L478" s="40">
        <f>1+5</f>
        <v>6</v>
      </c>
      <c r="M478" s="40">
        <v>0.1</v>
      </c>
      <c r="N478" s="15" t="s">
        <v>55</v>
      </c>
    </row>
    <row r="479" spans="1:16" ht="20.100000000000001" customHeight="1">
      <c r="A479" s="162"/>
      <c r="B479" s="26">
        <v>0</v>
      </c>
      <c r="C479" s="42" t="s">
        <v>373</v>
      </c>
      <c r="D479" s="28"/>
      <c r="E479" s="69" t="s">
        <v>160</v>
      </c>
      <c r="F479" s="40">
        <f>28.5+23+40</f>
        <v>91.5</v>
      </c>
      <c r="G479" s="40">
        <f>6.8+5.5+9.6</f>
        <v>21.9</v>
      </c>
      <c r="H479" s="40">
        <v>0.4</v>
      </c>
      <c r="I479" s="40">
        <v>0</v>
      </c>
      <c r="J479" s="40">
        <f>1.2+0.7+1.8</f>
        <v>3.7</v>
      </c>
      <c r="K479" s="40">
        <f>1+0.6+1.8</f>
        <v>3.4000000000000004</v>
      </c>
      <c r="L479" s="40">
        <f>0.6+0.4+0.4</f>
        <v>1.4</v>
      </c>
      <c r="M479" s="40">
        <v>0</v>
      </c>
      <c r="N479" s="15" t="s">
        <v>55</v>
      </c>
    </row>
    <row r="480" spans="1:16" ht="20.100000000000001" customHeight="1">
      <c r="A480" s="162"/>
      <c r="B480" s="17">
        <v>0</v>
      </c>
      <c r="C480" s="29" t="s">
        <v>19</v>
      </c>
      <c r="D480" s="28"/>
      <c r="E480" s="69" t="s">
        <v>26</v>
      </c>
      <c r="F480" s="40">
        <v>319.7</v>
      </c>
      <c r="G480" s="61">
        <v>76.400000000000006</v>
      </c>
      <c r="H480" s="61">
        <v>0.5</v>
      </c>
      <c r="I480" s="61">
        <v>0.2</v>
      </c>
      <c r="J480" s="61">
        <v>16.899999999999999</v>
      </c>
      <c r="K480" s="61">
        <v>16.7</v>
      </c>
      <c r="L480" s="61">
        <v>1.1000000000000001</v>
      </c>
      <c r="M480" s="61">
        <v>0</v>
      </c>
      <c r="N480" s="15" t="s">
        <v>55</v>
      </c>
    </row>
    <row r="481" spans="1:14" ht="20.100000000000001" customHeight="1">
      <c r="A481" s="162"/>
      <c r="B481" s="26">
        <v>0</v>
      </c>
      <c r="C481" s="29" t="s">
        <v>20</v>
      </c>
      <c r="D481" s="28"/>
      <c r="E481" s="70" t="s">
        <v>25</v>
      </c>
      <c r="F481" s="163" t="s">
        <v>95</v>
      </c>
      <c r="G481" s="164"/>
      <c r="H481" s="164"/>
      <c r="I481" s="164"/>
      <c r="J481" s="164"/>
      <c r="K481" s="164"/>
      <c r="L481" s="164"/>
      <c r="M481" s="165"/>
      <c r="N481" s="14"/>
    </row>
    <row r="482" spans="1:14" ht="20.100000000000001" customHeight="1">
      <c r="A482" s="30"/>
      <c r="B482" s="17">
        <v>0</v>
      </c>
      <c r="C482" s="31"/>
      <c r="D482" s="28"/>
      <c r="E482" s="71"/>
      <c r="F482" s="32"/>
      <c r="G482" s="32"/>
      <c r="H482" s="32"/>
      <c r="I482" s="32"/>
      <c r="J482" s="32"/>
      <c r="K482" s="32"/>
      <c r="L482" s="32"/>
      <c r="M482" s="32"/>
      <c r="N482" s="4"/>
    </row>
    <row r="483" spans="1:14" ht="20.100000000000001" customHeight="1" thickBot="1">
      <c r="A483" s="33"/>
      <c r="B483" s="26">
        <v>0</v>
      </c>
      <c r="C483" s="34"/>
      <c r="D483" s="28"/>
      <c r="E483" s="68"/>
      <c r="F483" s="39" t="s">
        <v>87</v>
      </c>
      <c r="G483" s="39" t="s">
        <v>88</v>
      </c>
      <c r="H483" s="39" t="s">
        <v>89</v>
      </c>
      <c r="I483" s="39" t="s">
        <v>90</v>
      </c>
      <c r="J483" s="39" t="s">
        <v>91</v>
      </c>
      <c r="K483" s="39" t="s">
        <v>476</v>
      </c>
      <c r="L483" s="39" t="s">
        <v>477</v>
      </c>
      <c r="M483" s="39" t="s">
        <v>93</v>
      </c>
      <c r="N483" s="11"/>
    </row>
    <row r="484" spans="1:14" ht="20.100000000000001" customHeight="1" thickTop="1">
      <c r="A484" s="161" t="s">
        <v>21</v>
      </c>
      <c r="B484" s="17">
        <v>0</v>
      </c>
      <c r="C484" s="35" t="str">
        <f>$C$7</f>
        <v>Sopa</v>
      </c>
      <c r="D484" s="28"/>
      <c r="E484" s="69" t="s">
        <v>76</v>
      </c>
      <c r="F484" s="40">
        <v>893.8</v>
      </c>
      <c r="G484" s="40">
        <v>213.6</v>
      </c>
      <c r="H484" s="40">
        <v>3.8</v>
      </c>
      <c r="I484" s="40">
        <v>0.6</v>
      </c>
      <c r="J484" s="40">
        <v>32.700000000000003</v>
      </c>
      <c r="K484" s="40">
        <v>5.5</v>
      </c>
      <c r="L484" s="40">
        <v>11.6</v>
      </c>
      <c r="M484" s="40">
        <v>0.2</v>
      </c>
      <c r="N484" s="15" t="s">
        <v>55</v>
      </c>
    </row>
    <row r="485" spans="1:14" ht="35.25" customHeight="1">
      <c r="A485" s="162"/>
      <c r="B485" s="26">
        <v>0</v>
      </c>
      <c r="C485" s="42" t="s">
        <v>18</v>
      </c>
      <c r="D485" s="28"/>
      <c r="E485" s="69" t="s">
        <v>429</v>
      </c>
      <c r="F485" s="40">
        <v>1495.6</v>
      </c>
      <c r="G485" s="40">
        <v>357.4</v>
      </c>
      <c r="H485" s="40">
        <v>0.7</v>
      </c>
      <c r="I485" s="40">
        <v>0.2</v>
      </c>
      <c r="J485" s="40">
        <v>60.8</v>
      </c>
      <c r="K485" s="40">
        <v>8.1999999999999993</v>
      </c>
      <c r="L485" s="40">
        <v>15.3</v>
      </c>
      <c r="M485" s="40">
        <v>0.3</v>
      </c>
      <c r="N485" s="15" t="s">
        <v>55</v>
      </c>
    </row>
    <row r="486" spans="1:14" ht="20.100000000000001" customHeight="1">
      <c r="A486" s="162"/>
      <c r="B486" s="17">
        <v>0</v>
      </c>
      <c r="C486" s="42" t="s">
        <v>373</v>
      </c>
      <c r="D486" s="28"/>
      <c r="E486" s="69" t="s">
        <v>99</v>
      </c>
      <c r="F486" s="40">
        <f>20+30+163.3</f>
        <v>213.3</v>
      </c>
      <c r="G486" s="40">
        <f>4.8+7.2+39.2</f>
        <v>51.2</v>
      </c>
      <c r="H486" s="40">
        <v>0.6</v>
      </c>
      <c r="I486" s="40">
        <v>0</v>
      </c>
      <c r="J486" s="40">
        <f>0.3+1.4+7.1</f>
        <v>8.7999999999999989</v>
      </c>
      <c r="K486" s="40">
        <f>0.3+1.4</f>
        <v>1.7</v>
      </c>
      <c r="L486" s="40">
        <f>0.7+0.4+1.5</f>
        <v>2.6</v>
      </c>
      <c r="M486" s="40">
        <v>0.1</v>
      </c>
      <c r="N486" s="15" t="s">
        <v>55</v>
      </c>
    </row>
    <row r="487" spans="1:14" ht="20.100000000000001" customHeight="1">
      <c r="A487" s="162"/>
      <c r="B487" s="26">
        <v>0</v>
      </c>
      <c r="C487" s="36" t="str">
        <f>$C$10</f>
        <v>Sobremesa</v>
      </c>
      <c r="D487" s="28"/>
      <c r="E487" s="69" t="s">
        <v>51</v>
      </c>
      <c r="F487" s="40" t="s">
        <v>478</v>
      </c>
      <c r="G487" s="61" t="s">
        <v>479</v>
      </c>
      <c r="H487" s="61" t="s">
        <v>480</v>
      </c>
      <c r="I487" s="61" t="s">
        <v>481</v>
      </c>
      <c r="J487" s="61" t="s">
        <v>482</v>
      </c>
      <c r="K487" s="61" t="s">
        <v>483</v>
      </c>
      <c r="L487" s="61" t="s">
        <v>484</v>
      </c>
      <c r="M487" s="61" t="s">
        <v>485</v>
      </c>
      <c r="N487" s="15" t="s">
        <v>55</v>
      </c>
    </row>
    <row r="488" spans="1:14" ht="20.100000000000001" customHeight="1">
      <c r="A488" s="162"/>
      <c r="B488" s="17">
        <v>0</v>
      </c>
      <c r="C488" s="36" t="str">
        <f>$C$11</f>
        <v>Pão</v>
      </c>
      <c r="D488" s="28"/>
      <c r="E488" s="69" t="s">
        <v>25</v>
      </c>
      <c r="F488" s="163" t="s">
        <v>95</v>
      </c>
      <c r="G488" s="164"/>
      <c r="H488" s="164"/>
      <c r="I488" s="164"/>
      <c r="J488" s="164"/>
      <c r="K488" s="164"/>
      <c r="L488" s="164"/>
      <c r="M488" s="165"/>
      <c r="N488" s="14"/>
    </row>
    <row r="489" spans="1:14" ht="20.100000000000001" customHeight="1">
      <c r="A489" s="30"/>
      <c r="B489" s="26">
        <v>0</v>
      </c>
      <c r="C489" s="31"/>
      <c r="D489" s="28"/>
      <c r="E489" s="68"/>
      <c r="F489" s="32"/>
      <c r="G489" s="32"/>
      <c r="H489" s="32"/>
      <c r="I489" s="32"/>
      <c r="J489" s="32"/>
      <c r="K489" s="32"/>
      <c r="L489" s="32"/>
      <c r="M489" s="32"/>
      <c r="N489" s="4"/>
    </row>
    <row r="490" spans="1:14" ht="20.100000000000001" customHeight="1" thickBot="1">
      <c r="A490" s="33"/>
      <c r="B490" s="17">
        <v>0</v>
      </c>
      <c r="C490" s="34"/>
      <c r="D490" s="28"/>
      <c r="E490" s="68"/>
      <c r="F490" s="39" t="s">
        <v>87</v>
      </c>
      <c r="G490" s="39" t="s">
        <v>88</v>
      </c>
      <c r="H490" s="39" t="s">
        <v>89</v>
      </c>
      <c r="I490" s="39" t="s">
        <v>90</v>
      </c>
      <c r="J490" s="39" t="s">
        <v>91</v>
      </c>
      <c r="K490" s="39" t="s">
        <v>476</v>
      </c>
      <c r="L490" s="39" t="s">
        <v>477</v>
      </c>
      <c r="M490" s="39" t="s">
        <v>93</v>
      </c>
      <c r="N490" s="11"/>
    </row>
    <row r="491" spans="1:14" ht="20.100000000000001" customHeight="1" thickTop="1">
      <c r="A491" s="161" t="s">
        <v>22</v>
      </c>
      <c r="B491" s="26">
        <v>0</v>
      </c>
      <c r="C491" s="35" t="str">
        <f>$C$7</f>
        <v>Sopa</v>
      </c>
      <c r="D491" s="28"/>
      <c r="E491" s="69" t="s">
        <v>456</v>
      </c>
      <c r="F491" s="40">
        <v>509.8</v>
      </c>
      <c r="G491" s="40">
        <v>121.9</v>
      </c>
      <c r="H491" s="40">
        <v>3.6</v>
      </c>
      <c r="I491" s="40">
        <v>6.4</v>
      </c>
      <c r="J491" s="40">
        <v>18.100000000000001</v>
      </c>
      <c r="K491" s="40">
        <v>5</v>
      </c>
      <c r="L491" s="40">
        <v>4.5</v>
      </c>
      <c r="M491" s="40">
        <v>0.1</v>
      </c>
      <c r="N491" s="15" t="s">
        <v>55</v>
      </c>
    </row>
    <row r="492" spans="1:14" ht="20.100000000000001" customHeight="1">
      <c r="A492" s="162"/>
      <c r="B492" s="17">
        <v>0</v>
      </c>
      <c r="C492" s="42" t="s">
        <v>18</v>
      </c>
      <c r="D492" s="28"/>
      <c r="E492" s="69" t="s">
        <v>430</v>
      </c>
      <c r="F492" s="60">
        <v>2157.3000000000002</v>
      </c>
      <c r="G492" s="60">
        <v>515.6</v>
      </c>
      <c r="H492" s="60">
        <v>8.4</v>
      </c>
      <c r="I492" s="60">
        <v>1.1000000000000001</v>
      </c>
      <c r="J492" s="60">
        <v>83.2</v>
      </c>
      <c r="K492" s="60">
        <v>9.6999999999999993</v>
      </c>
      <c r="L492" s="60">
        <v>25</v>
      </c>
      <c r="M492" s="60">
        <v>0.2</v>
      </c>
      <c r="N492" s="15" t="s">
        <v>55</v>
      </c>
    </row>
    <row r="493" spans="1:14" ht="20.100000000000001" customHeight="1">
      <c r="A493" s="162"/>
      <c r="B493" s="26">
        <v>0</v>
      </c>
      <c r="C493" s="42" t="s">
        <v>373</v>
      </c>
      <c r="D493" s="28"/>
      <c r="E493" s="69" t="s">
        <v>161</v>
      </c>
      <c r="F493" s="40">
        <f>20+32.4+23</f>
        <v>75.400000000000006</v>
      </c>
      <c r="G493" s="40">
        <f>4.8+7.7+5.5</f>
        <v>18</v>
      </c>
      <c r="H493" s="40">
        <v>0.3</v>
      </c>
      <c r="I493" s="40">
        <v>0</v>
      </c>
      <c r="J493" s="40">
        <f>0.3+1.8+0.7</f>
        <v>2.8</v>
      </c>
      <c r="K493" s="40">
        <f>0.3+1.6+0.6</f>
        <v>2.5</v>
      </c>
      <c r="L493" s="40">
        <f>0.7+0.2+0.4</f>
        <v>1.2999999999999998</v>
      </c>
      <c r="M493" s="40">
        <v>0.1</v>
      </c>
      <c r="N493" s="15" t="s">
        <v>55</v>
      </c>
    </row>
    <row r="494" spans="1:14" ht="20.100000000000001" customHeight="1">
      <c r="A494" s="162"/>
      <c r="B494" s="17">
        <v>0</v>
      </c>
      <c r="C494" s="36" t="str">
        <f>$C$10</f>
        <v>Sobremesa</v>
      </c>
      <c r="D494" s="28"/>
      <c r="E494" s="69" t="s">
        <v>26</v>
      </c>
      <c r="F494" s="40">
        <v>319.7</v>
      </c>
      <c r="G494" s="61">
        <v>76.400000000000006</v>
      </c>
      <c r="H494" s="61">
        <v>0.5</v>
      </c>
      <c r="I494" s="61">
        <v>0.2</v>
      </c>
      <c r="J494" s="61">
        <v>16.899999999999999</v>
      </c>
      <c r="K494" s="61">
        <v>16.7</v>
      </c>
      <c r="L494" s="61">
        <v>1.1000000000000001</v>
      </c>
      <c r="M494" s="61">
        <v>0</v>
      </c>
      <c r="N494" s="15" t="s">
        <v>55</v>
      </c>
    </row>
    <row r="495" spans="1:14" ht="20.100000000000001" customHeight="1">
      <c r="A495" s="162"/>
      <c r="B495" s="26">
        <v>0</v>
      </c>
      <c r="C495" s="36" t="str">
        <f>$C$11</f>
        <v>Pão</v>
      </c>
      <c r="D495" s="28"/>
      <c r="E495" s="69" t="s">
        <v>25</v>
      </c>
      <c r="F495" s="163" t="s">
        <v>95</v>
      </c>
      <c r="G495" s="164"/>
      <c r="H495" s="164"/>
      <c r="I495" s="164"/>
      <c r="J495" s="164"/>
      <c r="K495" s="164"/>
      <c r="L495" s="164"/>
      <c r="M495" s="165"/>
      <c r="N495" s="14"/>
    </row>
    <row r="496" spans="1:14" ht="20.100000000000001" customHeight="1">
      <c r="A496" s="30"/>
      <c r="B496" s="17">
        <v>0</v>
      </c>
      <c r="C496" s="31"/>
      <c r="D496" s="28"/>
      <c r="E496" s="71"/>
      <c r="F496" s="32"/>
      <c r="G496" s="32"/>
      <c r="H496" s="32"/>
      <c r="I496" s="32"/>
      <c r="J496" s="32"/>
      <c r="K496" s="32"/>
      <c r="L496" s="32"/>
      <c r="M496" s="32"/>
      <c r="N496" s="4"/>
    </row>
    <row r="497" spans="1:14" ht="20.100000000000001" customHeight="1" thickBot="1">
      <c r="A497" s="33"/>
      <c r="B497" s="26">
        <v>0</v>
      </c>
      <c r="C497" s="34"/>
      <c r="D497" s="28"/>
      <c r="E497" s="68"/>
      <c r="F497" s="39" t="s">
        <v>87</v>
      </c>
      <c r="G497" s="39" t="s">
        <v>88</v>
      </c>
      <c r="H497" s="39" t="s">
        <v>89</v>
      </c>
      <c r="I497" s="39" t="s">
        <v>90</v>
      </c>
      <c r="J497" s="39" t="s">
        <v>91</v>
      </c>
      <c r="K497" s="39" t="s">
        <v>476</v>
      </c>
      <c r="L497" s="39" t="s">
        <v>477</v>
      </c>
      <c r="M497" s="39" t="s">
        <v>93</v>
      </c>
      <c r="N497" s="11"/>
    </row>
    <row r="498" spans="1:14" ht="20.100000000000001" customHeight="1" thickTop="1">
      <c r="A498" s="161" t="s">
        <v>23</v>
      </c>
      <c r="B498" s="17">
        <v>0</v>
      </c>
      <c r="C498" s="35" t="str">
        <f>$C$7</f>
        <v>Sopa</v>
      </c>
      <c r="D498" s="28"/>
      <c r="E498" s="69" t="s">
        <v>162</v>
      </c>
      <c r="F498" s="60">
        <v>470.2</v>
      </c>
      <c r="G498" s="60">
        <v>112.4</v>
      </c>
      <c r="H498" s="60">
        <v>3.3</v>
      </c>
      <c r="I498" s="60">
        <v>0.5</v>
      </c>
      <c r="J498" s="60">
        <v>17.2</v>
      </c>
      <c r="K498" s="60">
        <v>5.6</v>
      </c>
      <c r="L498" s="60">
        <v>3.3</v>
      </c>
      <c r="M498" s="60">
        <v>0.2</v>
      </c>
      <c r="N498" s="15" t="s">
        <v>55</v>
      </c>
    </row>
    <row r="499" spans="1:14" ht="33.75" customHeight="1">
      <c r="A499" s="162"/>
      <c r="B499" s="26">
        <v>0</v>
      </c>
      <c r="C499" s="42" t="s">
        <v>18</v>
      </c>
      <c r="D499" s="28"/>
      <c r="E499" s="69" t="s">
        <v>461</v>
      </c>
      <c r="F499" s="60">
        <v>1126.0999999999999</v>
      </c>
      <c r="G499" s="60">
        <v>269.10000000000002</v>
      </c>
      <c r="H499" s="60">
        <v>3.7</v>
      </c>
      <c r="I499" s="60">
        <v>0.6</v>
      </c>
      <c r="J499" s="60">
        <v>50.8</v>
      </c>
      <c r="K499" s="60">
        <v>2</v>
      </c>
      <c r="L499" s="60">
        <v>6.8</v>
      </c>
      <c r="M499" s="60">
        <v>0.2</v>
      </c>
      <c r="N499" s="15" t="s">
        <v>55</v>
      </c>
    </row>
    <row r="500" spans="1:14" ht="20.100000000000001" customHeight="1">
      <c r="A500" s="162"/>
      <c r="B500" s="17">
        <v>0</v>
      </c>
      <c r="C500" s="42" t="s">
        <v>373</v>
      </c>
      <c r="D500" s="28"/>
      <c r="E500" s="69" t="s">
        <v>163</v>
      </c>
      <c r="F500" s="40">
        <f>32.4+28.5+40</f>
        <v>100.9</v>
      </c>
      <c r="G500" s="40">
        <f>7.7+6.8+9.6</f>
        <v>24.1</v>
      </c>
      <c r="H500" s="40">
        <v>0.2</v>
      </c>
      <c r="I500" s="40">
        <v>0</v>
      </c>
      <c r="J500" s="40">
        <f>1.8+1.2+1.8</f>
        <v>4.8</v>
      </c>
      <c r="K500" s="40">
        <f>1.6+1+1.8</f>
        <v>4.4000000000000004</v>
      </c>
      <c r="L500" s="40">
        <f>0.2+0.6+0.4</f>
        <v>1.2000000000000002</v>
      </c>
      <c r="M500" s="40" t="s">
        <v>728</v>
      </c>
      <c r="N500" s="15" t="s">
        <v>55</v>
      </c>
    </row>
    <row r="501" spans="1:14" ht="20.100000000000001" customHeight="1">
      <c r="A501" s="162"/>
      <c r="B501" s="26">
        <v>0</v>
      </c>
      <c r="C501" s="36" t="str">
        <f>$C$10</f>
        <v>Sobremesa</v>
      </c>
      <c r="D501" s="28"/>
      <c r="E501" s="69" t="s">
        <v>38</v>
      </c>
      <c r="F501" s="40">
        <v>319.7</v>
      </c>
      <c r="G501" s="61">
        <v>76.400000000000006</v>
      </c>
      <c r="H501" s="61">
        <v>0.5</v>
      </c>
      <c r="I501" s="61">
        <v>0.2</v>
      </c>
      <c r="J501" s="61">
        <v>16.899999999999999</v>
      </c>
      <c r="K501" s="61">
        <v>16.7</v>
      </c>
      <c r="L501" s="61">
        <v>1.1000000000000001</v>
      </c>
      <c r="M501" s="61">
        <v>0</v>
      </c>
      <c r="N501" s="15" t="s">
        <v>55</v>
      </c>
    </row>
    <row r="502" spans="1:14" ht="20.100000000000001" customHeight="1">
      <c r="A502" s="162"/>
      <c r="B502" s="17">
        <v>0</v>
      </c>
      <c r="C502" s="36" t="str">
        <f>$C$11</f>
        <v>Pão</v>
      </c>
      <c r="D502" s="28"/>
      <c r="E502" s="70" t="s">
        <v>25</v>
      </c>
      <c r="F502" s="163" t="s">
        <v>95</v>
      </c>
      <c r="G502" s="164"/>
      <c r="H502" s="164"/>
      <c r="I502" s="164"/>
      <c r="J502" s="164"/>
      <c r="K502" s="164"/>
      <c r="L502" s="164"/>
      <c r="M502" s="165"/>
      <c r="N502" s="14"/>
    </row>
    <row r="503" spans="1:14" ht="20.100000000000001" customHeight="1">
      <c r="A503" s="30"/>
      <c r="B503" s="26">
        <v>0</v>
      </c>
      <c r="C503" s="31"/>
      <c r="D503" s="28"/>
      <c r="E503" s="71"/>
      <c r="F503" s="32"/>
      <c r="G503" s="32"/>
      <c r="H503" s="32"/>
      <c r="I503" s="32"/>
      <c r="J503" s="32"/>
      <c r="K503" s="32"/>
      <c r="L503" s="32"/>
      <c r="M503" s="32"/>
      <c r="N503" s="4"/>
    </row>
    <row r="504" spans="1:14" ht="20.100000000000001" customHeight="1" thickBot="1">
      <c r="A504" s="33"/>
      <c r="B504" s="17">
        <v>0</v>
      </c>
      <c r="C504" s="34"/>
      <c r="D504" s="28"/>
      <c r="E504" s="68"/>
      <c r="F504" s="39" t="s">
        <v>87</v>
      </c>
      <c r="G504" s="39" t="s">
        <v>88</v>
      </c>
      <c r="H504" s="39" t="s">
        <v>89</v>
      </c>
      <c r="I504" s="39" t="s">
        <v>90</v>
      </c>
      <c r="J504" s="39" t="s">
        <v>91</v>
      </c>
      <c r="K504" s="39" t="s">
        <v>476</v>
      </c>
      <c r="L504" s="39" t="s">
        <v>477</v>
      </c>
      <c r="M504" s="39" t="s">
        <v>93</v>
      </c>
      <c r="N504" s="11"/>
    </row>
    <row r="505" spans="1:14" ht="20.100000000000001" customHeight="1" thickTop="1">
      <c r="A505" s="161" t="s">
        <v>24</v>
      </c>
      <c r="B505" s="26">
        <v>0</v>
      </c>
      <c r="C505" s="35" t="str">
        <f>$C$7</f>
        <v>Sopa</v>
      </c>
      <c r="D505" s="28"/>
      <c r="E505" s="69"/>
      <c r="F505" s="40"/>
      <c r="G505" s="40"/>
      <c r="H505" s="40"/>
      <c r="I505" s="40"/>
      <c r="J505" s="40"/>
      <c r="K505" s="40"/>
      <c r="L505" s="40"/>
      <c r="M505" s="40"/>
      <c r="N505" s="15" t="s">
        <v>55</v>
      </c>
    </row>
    <row r="506" spans="1:14" ht="48.75" customHeight="1">
      <c r="A506" s="162"/>
      <c r="B506" s="17">
        <v>0</v>
      </c>
      <c r="C506" s="42" t="s">
        <v>18</v>
      </c>
      <c r="D506" s="28"/>
      <c r="E506" s="79" t="s">
        <v>392</v>
      </c>
      <c r="F506" s="40"/>
      <c r="G506" s="40"/>
      <c r="H506" s="40"/>
      <c r="I506" s="40"/>
      <c r="J506" s="40"/>
      <c r="K506" s="40"/>
      <c r="L506" s="40"/>
      <c r="M506" s="40"/>
      <c r="N506" s="15" t="s">
        <v>55</v>
      </c>
    </row>
    <row r="507" spans="1:14" ht="20.100000000000001" customHeight="1">
      <c r="A507" s="162"/>
      <c r="B507" s="26">
        <v>0</v>
      </c>
      <c r="C507" s="42" t="s">
        <v>373</v>
      </c>
      <c r="D507" s="28"/>
      <c r="E507" s="69"/>
      <c r="F507" s="40"/>
      <c r="G507" s="40"/>
      <c r="H507" s="40"/>
      <c r="I507" s="40"/>
      <c r="J507" s="40"/>
      <c r="K507" s="40"/>
      <c r="L507" s="40"/>
      <c r="M507" s="40"/>
      <c r="N507" s="14" t="s">
        <v>55</v>
      </c>
    </row>
    <row r="508" spans="1:14" ht="20.100000000000001" customHeight="1">
      <c r="A508" s="162"/>
      <c r="B508" s="17">
        <v>0</v>
      </c>
      <c r="C508" s="36" t="str">
        <f>$C$10</f>
        <v>Sobremesa</v>
      </c>
      <c r="D508" s="28"/>
      <c r="E508" s="69"/>
      <c r="F508" s="40"/>
      <c r="G508" s="40"/>
      <c r="H508" s="40"/>
      <c r="I508" s="40"/>
      <c r="J508" s="40"/>
      <c r="K508" s="40"/>
      <c r="L508" s="40"/>
      <c r="M508" s="40"/>
      <c r="N508" s="15" t="s">
        <v>55</v>
      </c>
    </row>
    <row r="509" spans="1:14" ht="20.100000000000001" customHeight="1">
      <c r="A509" s="162"/>
      <c r="B509" s="26">
        <v>0</v>
      </c>
      <c r="C509" s="36" t="str">
        <f>$C$11</f>
        <v>Pão</v>
      </c>
      <c r="D509" s="28"/>
      <c r="E509" s="70"/>
      <c r="F509" s="163" t="s">
        <v>95</v>
      </c>
      <c r="G509" s="164"/>
      <c r="H509" s="164"/>
      <c r="I509" s="164"/>
      <c r="J509" s="164"/>
      <c r="K509" s="164"/>
      <c r="L509" s="164"/>
      <c r="M509" s="165"/>
      <c r="N509" s="14"/>
    </row>
    <row r="510" spans="1:14" ht="138" customHeight="1">
      <c r="A510" s="166" t="str">
        <f>+A$40</f>
        <v xml:space="preserve">
A sua refeição contém ou pode conter as seguintes substâncias ou produtos e seus derivados: 1Cereais que contêm glúten, 2Crustáceos , 3Ovos, 4Peixes, 5Amendoins, 6Soja, 7Leite, 8Frutos de casca rija, 9Aipo, 10Mostarda, 11Sementes de sésamo, 12Dióxido de enxofre e sulfitos, 13Tremoço, 14Moluscos. 
Para quem não é alérgico ou intolerante, estas substâncias ou produtos são completamente inofensivas. 
Caso necessite informação adicional sobre os produtos em causa deve solicitar aos funcionários.
Declaração nutricional: valores médios de 100 g ou 100 ml, calculados a partir dos valores médios conhecidos dos ingredientes utilizados, segundo o Instituto Nacional de Saúde Dr. Ricardo Jorge, Tabela da Composição de Alimentos (2007), e a informação disponibilizada pelos fornecedores.
Legenda: VE - Valor energético, Líp. - Lípidos, AG Sat. - Ácidos Gordos Saturados, HC - Hidratos de Carbono, Prot. - Proteínas.
</v>
      </c>
      <c r="B510" s="167"/>
      <c r="C510" s="167"/>
      <c r="D510" s="167"/>
      <c r="E510" s="167"/>
      <c r="F510" s="167"/>
      <c r="G510" s="167"/>
      <c r="H510" s="167"/>
      <c r="I510" s="167"/>
      <c r="J510" s="167"/>
      <c r="K510" s="167"/>
      <c r="L510" s="167"/>
      <c r="M510" s="167"/>
      <c r="N510" s="5"/>
    </row>
    <row r="511" spans="1:14" ht="20.100000000000001" customHeight="1">
      <c r="B511" s="26"/>
      <c r="C511" s="23"/>
      <c r="D511" s="24"/>
      <c r="E511" s="77"/>
      <c r="F511" s="37"/>
      <c r="G511" s="37"/>
      <c r="H511" s="37"/>
      <c r="I511" s="37"/>
      <c r="J511" s="37"/>
      <c r="K511" s="37"/>
      <c r="L511" s="37"/>
      <c r="M511" s="37"/>
      <c r="N511" s="12"/>
    </row>
    <row r="512" spans="1:14" ht="39.950000000000003" customHeight="1">
      <c r="B512" s="26">
        <v>0</v>
      </c>
      <c r="C512" s="63" t="s">
        <v>387</v>
      </c>
      <c r="D512" s="24"/>
      <c r="E512" s="72" t="s">
        <v>388</v>
      </c>
      <c r="F512" s="37"/>
      <c r="G512" s="37"/>
      <c r="H512" s="37"/>
      <c r="I512" s="37"/>
      <c r="J512" s="37"/>
      <c r="K512" s="37"/>
      <c r="L512" s="37"/>
      <c r="M512" s="37"/>
      <c r="N512" s="1"/>
    </row>
    <row r="513" spans="1:14" ht="20.100000000000001" customHeight="1" thickBot="1">
      <c r="B513" s="17">
        <v>0</v>
      </c>
      <c r="E513" s="68"/>
      <c r="F513" s="39" t="s">
        <v>87</v>
      </c>
      <c r="G513" s="39" t="s">
        <v>88</v>
      </c>
      <c r="H513" s="39" t="s">
        <v>89</v>
      </c>
      <c r="I513" s="39" t="s">
        <v>90</v>
      </c>
      <c r="J513" s="39" t="s">
        <v>91</v>
      </c>
      <c r="K513" s="39" t="s">
        <v>92</v>
      </c>
      <c r="L513" s="39" t="s">
        <v>93</v>
      </c>
      <c r="M513" s="39" t="s">
        <v>94</v>
      </c>
      <c r="N513" s="3"/>
    </row>
    <row r="514" spans="1:14" ht="23.25" customHeight="1" thickTop="1">
      <c r="A514" s="161" t="s">
        <v>16</v>
      </c>
      <c r="B514" s="17">
        <v>0</v>
      </c>
      <c r="C514" s="27" t="s">
        <v>17</v>
      </c>
      <c r="D514" s="28"/>
      <c r="E514" s="69" t="s">
        <v>431</v>
      </c>
      <c r="F514" s="40">
        <v>589.1</v>
      </c>
      <c r="G514" s="40">
        <v>140.80000000000001</v>
      </c>
      <c r="H514" s="40">
        <v>3.6</v>
      </c>
      <c r="I514" s="40">
        <v>0.5</v>
      </c>
      <c r="J514" s="40">
        <v>20.2</v>
      </c>
      <c r="K514" s="40">
        <v>6.4</v>
      </c>
      <c r="L514" s="40">
        <v>6.8</v>
      </c>
      <c r="M514" s="40">
        <v>0.2</v>
      </c>
      <c r="N514" s="15" t="s">
        <v>55</v>
      </c>
    </row>
    <row r="515" spans="1:14" ht="31.5" customHeight="1">
      <c r="A515" s="162"/>
      <c r="B515" s="26">
        <v>0</v>
      </c>
      <c r="C515" s="42" t="s">
        <v>18</v>
      </c>
      <c r="D515" s="28"/>
      <c r="E515" s="69" t="s">
        <v>719</v>
      </c>
      <c r="F515" s="60">
        <v>1114.8</v>
      </c>
      <c r="G515" s="60">
        <v>266.39999999999998</v>
      </c>
      <c r="H515" s="60">
        <v>0.5</v>
      </c>
      <c r="I515" s="60">
        <v>0.1</v>
      </c>
      <c r="J515" s="60">
        <v>54.9</v>
      </c>
      <c r="K515" s="60">
        <v>6</v>
      </c>
      <c r="L515" s="60">
        <v>9.1</v>
      </c>
      <c r="M515" s="60">
        <v>0.2</v>
      </c>
      <c r="N515" s="15" t="s">
        <v>55</v>
      </c>
    </row>
    <row r="516" spans="1:14" ht="20.100000000000001" customHeight="1">
      <c r="A516" s="162"/>
      <c r="B516" s="17">
        <v>0</v>
      </c>
      <c r="C516" s="42" t="s">
        <v>373</v>
      </c>
      <c r="D516" s="28"/>
      <c r="E516" s="69" t="s">
        <v>136</v>
      </c>
      <c r="F516" s="40">
        <f>20+32.4+28</f>
        <v>80.400000000000006</v>
      </c>
      <c r="G516" s="40">
        <f>4.8+7.7+6.7</f>
        <v>19.2</v>
      </c>
      <c r="H516" s="40">
        <f>0.1+0.1+0.1</f>
        <v>0.30000000000000004</v>
      </c>
      <c r="I516" s="40">
        <v>0</v>
      </c>
      <c r="J516" s="40">
        <f>0.3+1.8+0.8</f>
        <v>2.9000000000000004</v>
      </c>
      <c r="K516" s="40">
        <f>0.3+1.6+0.8</f>
        <v>2.7</v>
      </c>
      <c r="L516" s="40">
        <f>0.7+0.2+0.6</f>
        <v>1.5</v>
      </c>
      <c r="M516" s="40">
        <v>0.1</v>
      </c>
      <c r="N516" s="15" t="s">
        <v>55</v>
      </c>
    </row>
    <row r="517" spans="1:14" ht="20.100000000000001" customHeight="1">
      <c r="A517" s="162"/>
      <c r="B517" s="26">
        <v>0</v>
      </c>
      <c r="C517" s="29" t="s">
        <v>19</v>
      </c>
      <c r="D517" s="28"/>
      <c r="E517" s="69" t="s">
        <v>38</v>
      </c>
      <c r="F517" s="40">
        <v>319.7</v>
      </c>
      <c r="G517" s="61">
        <v>76.400000000000006</v>
      </c>
      <c r="H517" s="61">
        <v>0.5</v>
      </c>
      <c r="I517" s="61">
        <v>0.2</v>
      </c>
      <c r="J517" s="61">
        <v>16.899999999999999</v>
      </c>
      <c r="K517" s="61">
        <v>16.7</v>
      </c>
      <c r="L517" s="61">
        <v>1.1000000000000001</v>
      </c>
      <c r="M517" s="61">
        <v>0</v>
      </c>
      <c r="N517" s="15" t="s">
        <v>55</v>
      </c>
    </row>
    <row r="518" spans="1:14" ht="20.100000000000001" customHeight="1">
      <c r="A518" s="162"/>
      <c r="B518" s="17">
        <v>0</v>
      </c>
      <c r="C518" s="29" t="s">
        <v>20</v>
      </c>
      <c r="D518" s="28"/>
      <c r="E518" s="70" t="s">
        <v>25</v>
      </c>
      <c r="F518" s="163" t="s">
        <v>95</v>
      </c>
      <c r="G518" s="164"/>
      <c r="H518" s="164"/>
      <c r="I518" s="164"/>
      <c r="J518" s="164"/>
      <c r="K518" s="164"/>
      <c r="L518" s="164"/>
      <c r="M518" s="165"/>
      <c r="N518" s="64"/>
    </row>
    <row r="519" spans="1:14" ht="20.100000000000001" customHeight="1">
      <c r="A519" s="30"/>
      <c r="B519" s="26">
        <v>0</v>
      </c>
      <c r="C519" s="31"/>
      <c r="D519" s="28"/>
      <c r="E519" s="71"/>
      <c r="F519" s="32"/>
      <c r="G519" s="32"/>
      <c r="H519" s="32"/>
      <c r="I519" s="32"/>
      <c r="J519" s="32"/>
      <c r="K519" s="32"/>
      <c r="L519" s="32"/>
      <c r="M519" s="32"/>
      <c r="N519" s="4"/>
    </row>
    <row r="520" spans="1:14" ht="20.100000000000001" customHeight="1" thickBot="1">
      <c r="A520" s="33"/>
      <c r="B520" s="17">
        <v>0</v>
      </c>
      <c r="C520" s="34"/>
      <c r="D520" s="28"/>
      <c r="E520" s="68"/>
      <c r="F520" s="39" t="s">
        <v>87</v>
      </c>
      <c r="G520" s="39" t="s">
        <v>88</v>
      </c>
      <c r="H520" s="39" t="s">
        <v>89</v>
      </c>
      <c r="I520" s="39" t="s">
        <v>90</v>
      </c>
      <c r="J520" s="39" t="s">
        <v>91</v>
      </c>
      <c r="K520" s="39" t="s">
        <v>476</v>
      </c>
      <c r="L520" s="39" t="s">
        <v>477</v>
      </c>
      <c r="M520" s="39" t="s">
        <v>93</v>
      </c>
      <c r="N520" s="11"/>
    </row>
    <row r="521" spans="1:14" ht="27" customHeight="1" thickTop="1">
      <c r="A521" s="161" t="s">
        <v>21</v>
      </c>
      <c r="B521" s="26">
        <v>0</v>
      </c>
      <c r="C521" s="35" t="str">
        <f>$C$7</f>
        <v>Sopa</v>
      </c>
      <c r="D521" s="28"/>
      <c r="E521" s="78" t="s">
        <v>432</v>
      </c>
      <c r="F521" s="40">
        <v>890.2</v>
      </c>
      <c r="G521" s="40">
        <v>213</v>
      </c>
      <c r="H521" s="40">
        <v>4</v>
      </c>
      <c r="I521" s="40">
        <v>0.6</v>
      </c>
      <c r="J521" s="40">
        <v>32.200000000000003</v>
      </c>
      <c r="K521" s="40">
        <v>4.4000000000000004</v>
      </c>
      <c r="L521" s="40">
        <v>11.4</v>
      </c>
      <c r="M521" s="40">
        <v>0.4</v>
      </c>
      <c r="N521" s="15" t="s">
        <v>55</v>
      </c>
    </row>
    <row r="522" spans="1:14" ht="51" customHeight="1">
      <c r="A522" s="162"/>
      <c r="B522" s="17">
        <v>0</v>
      </c>
      <c r="C522" s="42" t="s">
        <v>18</v>
      </c>
      <c r="D522" s="28"/>
      <c r="E522" s="69" t="s">
        <v>433</v>
      </c>
      <c r="F522" s="40">
        <f>148.7+266.9+206</f>
        <v>621.59999999999991</v>
      </c>
      <c r="G522" s="40">
        <f>35.6+63.8+49.2</f>
        <v>148.60000000000002</v>
      </c>
      <c r="H522" s="40">
        <f>3.3+3.2+0.5</f>
        <v>7</v>
      </c>
      <c r="I522" s="40">
        <f>0.5+0.5+0.2</f>
        <v>1.2</v>
      </c>
      <c r="J522" s="40">
        <f>0.6+7.6+5.7</f>
        <v>13.899999999999999</v>
      </c>
      <c r="K522" s="40">
        <f>0.4+2.8+4.2</f>
        <v>7.4</v>
      </c>
      <c r="L522" s="40">
        <f>1+3+4</f>
        <v>8</v>
      </c>
      <c r="M522" s="40">
        <v>0.4</v>
      </c>
      <c r="N522" s="15" t="s">
        <v>55</v>
      </c>
    </row>
    <row r="523" spans="1:14" ht="20.100000000000001" customHeight="1">
      <c r="A523" s="162"/>
      <c r="B523" s="26">
        <v>0</v>
      </c>
      <c r="C523" s="42" t="s">
        <v>373</v>
      </c>
      <c r="D523" s="28"/>
      <c r="E523" s="69" t="s">
        <v>137</v>
      </c>
      <c r="F523" s="60">
        <f>32.4+163.3+40</f>
        <v>235.70000000000002</v>
      </c>
      <c r="G523" s="40">
        <f>7.7+39.2+9.6</f>
        <v>56.500000000000007</v>
      </c>
      <c r="H523" s="40">
        <f>0.5+0.2</f>
        <v>0.7</v>
      </c>
      <c r="I523" s="40">
        <v>0</v>
      </c>
      <c r="J523" s="40">
        <f>1.8+7.1+1.8</f>
        <v>10.700000000000001</v>
      </c>
      <c r="K523" s="40">
        <f>1.6+1.8</f>
        <v>3.4000000000000004</v>
      </c>
      <c r="L523" s="40">
        <f>0.2+1.5+0.4</f>
        <v>2.1</v>
      </c>
      <c r="M523" s="40">
        <v>0.1</v>
      </c>
      <c r="N523" s="15" t="s">
        <v>55</v>
      </c>
    </row>
    <row r="524" spans="1:14" ht="20.100000000000001" customHeight="1">
      <c r="A524" s="162"/>
      <c r="B524" s="17">
        <v>0</v>
      </c>
      <c r="C524" s="36" t="str">
        <f>$C$10</f>
        <v>Sobremesa</v>
      </c>
      <c r="D524" s="28"/>
      <c r="E524" s="69" t="s">
        <v>128</v>
      </c>
      <c r="F524" s="40" t="s">
        <v>478</v>
      </c>
      <c r="G524" s="61" t="s">
        <v>479</v>
      </c>
      <c r="H524" s="61" t="s">
        <v>480</v>
      </c>
      <c r="I524" s="61" t="s">
        <v>481</v>
      </c>
      <c r="J524" s="61" t="s">
        <v>482</v>
      </c>
      <c r="K524" s="61" t="s">
        <v>483</v>
      </c>
      <c r="L524" s="61" t="s">
        <v>484</v>
      </c>
      <c r="M524" s="61" t="s">
        <v>485</v>
      </c>
      <c r="N524" s="15" t="s">
        <v>55</v>
      </c>
    </row>
    <row r="525" spans="1:14" ht="20.100000000000001" customHeight="1">
      <c r="A525" s="162"/>
      <c r="B525" s="26">
        <v>0</v>
      </c>
      <c r="C525" s="36" t="str">
        <f>$C$11</f>
        <v>Pão</v>
      </c>
      <c r="D525" s="28"/>
      <c r="E525" s="70" t="s">
        <v>25</v>
      </c>
      <c r="F525" s="163" t="s">
        <v>95</v>
      </c>
      <c r="G525" s="164"/>
      <c r="H525" s="164"/>
      <c r="I525" s="164"/>
      <c r="J525" s="164"/>
      <c r="K525" s="164"/>
      <c r="L525" s="164"/>
      <c r="M525" s="165"/>
      <c r="N525" s="64"/>
    </row>
    <row r="526" spans="1:14" ht="20.100000000000001" customHeight="1">
      <c r="A526" s="30"/>
      <c r="B526" s="17">
        <v>0</v>
      </c>
      <c r="C526" s="31"/>
      <c r="D526" s="28"/>
      <c r="E526" s="71"/>
      <c r="F526" s="32"/>
      <c r="G526" s="32"/>
      <c r="H526" s="32"/>
      <c r="I526" s="32"/>
      <c r="J526" s="32"/>
      <c r="K526" s="32"/>
      <c r="L526" s="32"/>
      <c r="M526" s="32"/>
      <c r="N526" s="4"/>
    </row>
    <row r="527" spans="1:14" ht="31.5" customHeight="1" thickBot="1">
      <c r="A527" s="33"/>
      <c r="B527" s="26">
        <v>0</v>
      </c>
      <c r="C527" s="34"/>
      <c r="D527" s="28"/>
      <c r="F527" s="39" t="s">
        <v>87</v>
      </c>
      <c r="G527" s="39" t="s">
        <v>88</v>
      </c>
      <c r="H527" s="39" t="s">
        <v>89</v>
      </c>
      <c r="I527" s="39" t="s">
        <v>90</v>
      </c>
      <c r="J527" s="39" t="s">
        <v>91</v>
      </c>
      <c r="K527" s="39" t="s">
        <v>476</v>
      </c>
      <c r="L527" s="39" t="s">
        <v>477</v>
      </c>
      <c r="M527" s="39" t="s">
        <v>93</v>
      </c>
      <c r="N527" s="11"/>
    </row>
    <row r="528" spans="1:14" ht="33.75" customHeight="1" thickTop="1">
      <c r="A528" s="161" t="s">
        <v>22</v>
      </c>
      <c r="B528" s="17">
        <v>0</v>
      </c>
      <c r="C528" s="35" t="str">
        <f>$C$7</f>
        <v>Sopa</v>
      </c>
      <c r="D528" s="28"/>
      <c r="E528" s="78" t="s">
        <v>134</v>
      </c>
      <c r="F528" s="40">
        <v>260.60000000000002</v>
      </c>
      <c r="G528" s="40">
        <v>62.3</v>
      </c>
      <c r="H528" s="40">
        <v>3.5</v>
      </c>
      <c r="I528" s="40">
        <v>0.6</v>
      </c>
      <c r="J528" s="40">
        <v>6.1</v>
      </c>
      <c r="K528" s="40">
        <v>5.3</v>
      </c>
      <c r="L528" s="40">
        <v>2</v>
      </c>
      <c r="M528" s="40">
        <v>0.2</v>
      </c>
      <c r="N528" s="15" t="s">
        <v>55</v>
      </c>
    </row>
    <row r="529" spans="1:14" ht="20.100000000000001" customHeight="1">
      <c r="A529" s="162"/>
      <c r="B529" s="26">
        <v>0</v>
      </c>
      <c r="C529" s="42" t="s">
        <v>18</v>
      </c>
      <c r="D529" s="28"/>
      <c r="E529" s="78" t="s">
        <v>411</v>
      </c>
      <c r="F529" s="40">
        <v>548.5</v>
      </c>
      <c r="G529" s="40">
        <v>131.1</v>
      </c>
      <c r="H529" s="40">
        <v>3.8</v>
      </c>
      <c r="I529" s="40">
        <v>0.6</v>
      </c>
      <c r="J529" s="40">
        <v>13.8</v>
      </c>
      <c r="K529" s="40">
        <v>6.6</v>
      </c>
      <c r="L529" s="40">
        <v>10.4</v>
      </c>
      <c r="M529" s="40">
        <v>0.2</v>
      </c>
      <c r="N529" s="15" t="s">
        <v>55</v>
      </c>
    </row>
    <row r="530" spans="1:14" ht="20.100000000000001" customHeight="1">
      <c r="A530" s="162"/>
      <c r="B530" s="17">
        <v>0</v>
      </c>
      <c r="C530" s="42" t="s">
        <v>373</v>
      </c>
      <c r="D530" s="28"/>
      <c r="E530" s="69" t="s">
        <v>132</v>
      </c>
      <c r="F530" s="40">
        <f>20+30+25.6</f>
        <v>75.599999999999994</v>
      </c>
      <c r="G530" s="40">
        <f>4.8+7.2+6.1</f>
        <v>18.100000000000001</v>
      </c>
      <c r="H530" s="40">
        <f>0.1+0.2</f>
        <v>0.30000000000000004</v>
      </c>
      <c r="I530" s="40">
        <v>0.1</v>
      </c>
      <c r="J530" s="40">
        <f>0.3+1.4+0.6</f>
        <v>2.2999999999999998</v>
      </c>
      <c r="K530" s="40">
        <f>0.3+1.4+0.6</f>
        <v>2.2999999999999998</v>
      </c>
      <c r="L530" s="40">
        <f>0.7+0.4+0.5</f>
        <v>1.6</v>
      </c>
      <c r="M530" s="40">
        <v>0.1</v>
      </c>
      <c r="N530" s="15" t="s">
        <v>55</v>
      </c>
    </row>
    <row r="531" spans="1:14" ht="20.100000000000001" customHeight="1">
      <c r="A531" s="162"/>
      <c r="B531" s="26">
        <v>0</v>
      </c>
      <c r="C531" s="36" t="str">
        <f>$C$10</f>
        <v>Sobremesa</v>
      </c>
      <c r="D531" s="28"/>
      <c r="E531" s="69" t="s">
        <v>38</v>
      </c>
      <c r="F531" s="40">
        <v>319.7</v>
      </c>
      <c r="G531" s="61">
        <v>76.400000000000006</v>
      </c>
      <c r="H531" s="61">
        <v>0.5</v>
      </c>
      <c r="I531" s="61">
        <v>0.2</v>
      </c>
      <c r="J531" s="61">
        <v>16.899999999999999</v>
      </c>
      <c r="K531" s="61">
        <v>16.7</v>
      </c>
      <c r="L531" s="61">
        <v>1.1000000000000001</v>
      </c>
      <c r="M531" s="61">
        <v>0</v>
      </c>
      <c r="N531" s="15" t="s">
        <v>55</v>
      </c>
    </row>
    <row r="532" spans="1:14" ht="20.100000000000001" customHeight="1">
      <c r="A532" s="162"/>
      <c r="B532" s="17">
        <v>0</v>
      </c>
      <c r="C532" s="36" t="str">
        <f>$C$11</f>
        <v>Pão</v>
      </c>
      <c r="D532" s="28"/>
      <c r="E532" s="70" t="s">
        <v>25</v>
      </c>
      <c r="F532" s="163" t="s">
        <v>95</v>
      </c>
      <c r="G532" s="164"/>
      <c r="H532" s="164"/>
      <c r="I532" s="164"/>
      <c r="J532" s="164"/>
      <c r="K532" s="164"/>
      <c r="L532" s="164"/>
      <c r="M532" s="165"/>
      <c r="N532" s="64"/>
    </row>
    <row r="533" spans="1:14" ht="20.100000000000001" customHeight="1">
      <c r="A533" s="30"/>
      <c r="B533" s="26">
        <v>0</v>
      </c>
      <c r="C533" s="31"/>
      <c r="D533" s="28"/>
      <c r="E533" s="71"/>
      <c r="F533" s="32"/>
      <c r="G533" s="32"/>
      <c r="H533" s="32"/>
      <c r="I533" s="32"/>
      <c r="J533" s="32"/>
      <c r="K533" s="32"/>
      <c r="L533" s="32"/>
      <c r="M533" s="32"/>
      <c r="N533" s="4"/>
    </row>
    <row r="534" spans="1:14" ht="20.100000000000001" customHeight="1" thickBot="1">
      <c r="A534" s="33"/>
      <c r="B534" s="17">
        <v>0</v>
      </c>
      <c r="C534" s="34"/>
      <c r="D534" s="28"/>
      <c r="E534" s="68"/>
      <c r="F534" s="39" t="s">
        <v>87</v>
      </c>
      <c r="G534" s="39" t="s">
        <v>88</v>
      </c>
      <c r="H534" s="39" t="s">
        <v>89</v>
      </c>
      <c r="I534" s="39" t="s">
        <v>90</v>
      </c>
      <c r="J534" s="39" t="s">
        <v>91</v>
      </c>
      <c r="K534" s="39" t="s">
        <v>476</v>
      </c>
      <c r="L534" s="39" t="s">
        <v>477</v>
      </c>
      <c r="M534" s="39" t="s">
        <v>93</v>
      </c>
      <c r="N534" s="11"/>
    </row>
    <row r="535" spans="1:14" ht="34.5" customHeight="1" thickTop="1">
      <c r="A535" s="161" t="s">
        <v>23</v>
      </c>
      <c r="B535" s="26">
        <v>0</v>
      </c>
      <c r="C535" s="35" t="str">
        <f>$C$7</f>
        <v>Sopa</v>
      </c>
      <c r="D535" s="28"/>
      <c r="E535" s="78" t="s">
        <v>434</v>
      </c>
      <c r="F535" s="40">
        <v>430.3</v>
      </c>
      <c r="G535" s="40">
        <v>102.8</v>
      </c>
      <c r="H535" s="40">
        <v>3.3</v>
      </c>
      <c r="I535" s="40">
        <v>0.5</v>
      </c>
      <c r="J535" s="40">
        <v>15.6</v>
      </c>
      <c r="K535" s="40">
        <v>4.4000000000000004</v>
      </c>
      <c r="L535" s="40">
        <v>2.5</v>
      </c>
      <c r="M535" s="40">
        <v>0.2</v>
      </c>
      <c r="N535" s="15" t="s">
        <v>55</v>
      </c>
    </row>
    <row r="536" spans="1:14" ht="43.5" customHeight="1">
      <c r="A536" s="162"/>
      <c r="B536" s="17">
        <v>0</v>
      </c>
      <c r="C536" s="42" t="s">
        <v>18</v>
      </c>
      <c r="D536" s="28"/>
      <c r="E536" s="78" t="s">
        <v>435</v>
      </c>
      <c r="F536" s="40">
        <v>1436.2</v>
      </c>
      <c r="G536" s="40">
        <v>343.1</v>
      </c>
      <c r="H536" s="40">
        <v>4.8</v>
      </c>
      <c r="I536" s="40">
        <v>3.6</v>
      </c>
      <c r="J536" s="40">
        <v>60.9</v>
      </c>
      <c r="K536" s="40">
        <v>5.6</v>
      </c>
      <c r="L536" s="40">
        <v>11.9</v>
      </c>
      <c r="M536" s="40">
        <v>0.1</v>
      </c>
      <c r="N536" s="15" t="s">
        <v>55</v>
      </c>
    </row>
    <row r="537" spans="1:14" ht="20.100000000000001" customHeight="1">
      <c r="A537" s="162"/>
      <c r="B537" s="26">
        <v>0</v>
      </c>
      <c r="C537" s="42" t="s">
        <v>373</v>
      </c>
      <c r="D537" s="28"/>
      <c r="E537" s="69" t="s">
        <v>122</v>
      </c>
      <c r="F537" s="40">
        <f>20+32.4+28.5</f>
        <v>80.900000000000006</v>
      </c>
      <c r="G537" s="40">
        <f>4.8+7.7+6.8</f>
        <v>19.3</v>
      </c>
      <c r="H537" s="40">
        <v>0.1</v>
      </c>
      <c r="I537" s="40">
        <v>0</v>
      </c>
      <c r="J537" s="40">
        <f>0.3+1.8+1.2</f>
        <v>3.3</v>
      </c>
      <c r="K537" s="40">
        <f>7.3+1.6+1</f>
        <v>9.9</v>
      </c>
      <c r="L537" s="40">
        <f>0.7+0.2+0.6</f>
        <v>1.5</v>
      </c>
      <c r="M537" s="40">
        <v>0.1</v>
      </c>
      <c r="N537" s="15" t="s">
        <v>55</v>
      </c>
    </row>
    <row r="538" spans="1:14" ht="20.100000000000001" customHeight="1">
      <c r="A538" s="162"/>
      <c r="B538" s="17">
        <v>0</v>
      </c>
      <c r="C538" s="36" t="str">
        <f>$C$10</f>
        <v>Sobremesa</v>
      </c>
      <c r="D538" s="28"/>
      <c r="E538" s="69" t="s">
        <v>38</v>
      </c>
      <c r="F538" s="40">
        <v>319.7</v>
      </c>
      <c r="G538" s="61">
        <v>76.400000000000006</v>
      </c>
      <c r="H538" s="61">
        <v>0.5</v>
      </c>
      <c r="I538" s="61">
        <v>0.2</v>
      </c>
      <c r="J538" s="61">
        <v>16.899999999999999</v>
      </c>
      <c r="K538" s="61">
        <v>16.7</v>
      </c>
      <c r="L538" s="61">
        <v>1.1000000000000001</v>
      </c>
      <c r="M538" s="61">
        <v>0</v>
      </c>
      <c r="N538" s="15" t="s">
        <v>55</v>
      </c>
    </row>
    <row r="539" spans="1:14" ht="20.100000000000001" customHeight="1">
      <c r="A539" s="162"/>
      <c r="B539" s="26">
        <v>0</v>
      </c>
      <c r="C539" s="36" t="str">
        <f>$C$11</f>
        <v>Pão</v>
      </c>
      <c r="D539" s="28"/>
      <c r="E539" s="70" t="s">
        <v>25</v>
      </c>
      <c r="F539" s="163" t="s">
        <v>95</v>
      </c>
      <c r="G539" s="164"/>
      <c r="H539" s="164"/>
      <c r="I539" s="164"/>
      <c r="J539" s="164"/>
      <c r="K539" s="164"/>
      <c r="L539" s="164"/>
      <c r="M539" s="165"/>
      <c r="N539" s="64"/>
    </row>
    <row r="540" spans="1:14" ht="20.100000000000001" customHeight="1">
      <c r="A540" s="30"/>
      <c r="B540" s="17">
        <v>0</v>
      </c>
      <c r="C540" s="31"/>
      <c r="D540" s="28"/>
      <c r="E540" s="71"/>
      <c r="F540" s="32"/>
      <c r="G540" s="32"/>
      <c r="H540" s="32"/>
      <c r="I540" s="32"/>
      <c r="J540" s="32"/>
      <c r="K540" s="32"/>
      <c r="L540" s="32"/>
      <c r="M540" s="32"/>
      <c r="N540" s="4"/>
    </row>
    <row r="541" spans="1:14" ht="20.100000000000001" customHeight="1" thickBot="1">
      <c r="A541" s="33"/>
      <c r="B541" s="26">
        <v>0</v>
      </c>
      <c r="C541" s="34"/>
      <c r="D541" s="28"/>
      <c r="E541" s="68"/>
      <c r="F541" s="39" t="s">
        <v>87</v>
      </c>
      <c r="G541" s="39" t="s">
        <v>88</v>
      </c>
      <c r="H541" s="39" t="s">
        <v>89</v>
      </c>
      <c r="I541" s="39" t="s">
        <v>90</v>
      </c>
      <c r="J541" s="39" t="s">
        <v>91</v>
      </c>
      <c r="K541" s="39" t="s">
        <v>476</v>
      </c>
      <c r="L541" s="39" t="s">
        <v>477</v>
      </c>
      <c r="M541" s="39" t="s">
        <v>93</v>
      </c>
      <c r="N541" s="11"/>
    </row>
    <row r="542" spans="1:14" ht="35.25" customHeight="1" thickTop="1">
      <c r="A542" s="161" t="s">
        <v>24</v>
      </c>
      <c r="B542" s="17">
        <v>0</v>
      </c>
      <c r="C542" s="35" t="str">
        <f>$C$7</f>
        <v>Sopa</v>
      </c>
      <c r="D542" s="28"/>
      <c r="E542" s="69"/>
      <c r="F542" s="40"/>
      <c r="G542" s="40"/>
      <c r="H542" s="40"/>
      <c r="I542" s="40"/>
      <c r="J542" s="40"/>
      <c r="K542" s="40"/>
      <c r="L542" s="40"/>
      <c r="M542" s="40"/>
      <c r="N542" s="15" t="s">
        <v>55</v>
      </c>
    </row>
    <row r="543" spans="1:14" ht="20.100000000000001" customHeight="1">
      <c r="A543" s="162"/>
      <c r="B543" s="26">
        <v>0</v>
      </c>
      <c r="C543" s="42" t="s">
        <v>18</v>
      </c>
      <c r="D543" s="28"/>
      <c r="E543" s="79" t="s">
        <v>392</v>
      </c>
      <c r="F543" s="40"/>
      <c r="G543" s="40"/>
      <c r="H543" s="40"/>
      <c r="I543" s="40"/>
      <c r="J543" s="40"/>
      <c r="K543" s="40"/>
      <c r="L543" s="40"/>
      <c r="M543" s="40"/>
      <c r="N543" s="15" t="s">
        <v>55</v>
      </c>
    </row>
    <row r="544" spans="1:14" ht="20.100000000000001" customHeight="1">
      <c r="A544" s="162"/>
      <c r="B544" s="17">
        <v>0</v>
      </c>
      <c r="C544" s="42" t="s">
        <v>373</v>
      </c>
      <c r="D544" s="28"/>
      <c r="E544" s="69"/>
      <c r="F544" s="40"/>
      <c r="G544" s="40"/>
      <c r="H544" s="40"/>
      <c r="I544" s="40"/>
      <c r="J544" s="40"/>
      <c r="K544" s="40"/>
      <c r="L544" s="40"/>
      <c r="M544" s="40"/>
      <c r="N544" s="64" t="s">
        <v>55</v>
      </c>
    </row>
    <row r="545" spans="1:14" ht="19.5" customHeight="1">
      <c r="A545" s="162"/>
      <c r="B545" s="26">
        <v>0</v>
      </c>
      <c r="C545" s="36" t="str">
        <f>$C$10</f>
        <v>Sobremesa</v>
      </c>
      <c r="D545" s="28"/>
      <c r="E545" s="69"/>
      <c r="F545" s="40"/>
      <c r="G545" s="40"/>
      <c r="H545" s="40"/>
      <c r="I545" s="40"/>
      <c r="J545" s="40"/>
      <c r="K545" s="40"/>
      <c r="L545" s="40"/>
      <c r="M545" s="40"/>
      <c r="N545" s="15" t="s">
        <v>55</v>
      </c>
    </row>
    <row r="546" spans="1:14" ht="36" customHeight="1">
      <c r="A546" s="162"/>
      <c r="B546" s="17">
        <v>0</v>
      </c>
      <c r="C546" s="36" t="str">
        <f>$C$11</f>
        <v>Pão</v>
      </c>
      <c r="D546" s="28"/>
      <c r="E546" s="70"/>
      <c r="F546" s="163" t="s">
        <v>95</v>
      </c>
      <c r="G546" s="164"/>
      <c r="H546" s="164"/>
      <c r="I546" s="164"/>
      <c r="J546" s="164"/>
      <c r="K546" s="164"/>
      <c r="L546" s="164"/>
      <c r="M546" s="165"/>
      <c r="N546" s="64"/>
    </row>
    <row r="547" spans="1:14" ht="134.25" customHeight="1">
      <c r="A547" s="166" t="str">
        <f>+A$40</f>
        <v xml:space="preserve">
A sua refeição contém ou pode conter as seguintes substâncias ou produtos e seus derivados: 1Cereais que contêm glúten, 2Crustáceos , 3Ovos, 4Peixes, 5Amendoins, 6Soja, 7Leite, 8Frutos de casca rija, 9Aipo, 10Mostarda, 11Sementes de sésamo, 12Dióxido de enxofre e sulfitos, 13Tremoço, 14Moluscos. 
Para quem não é alérgico ou intolerante, estas substâncias ou produtos são completamente inofensivas. 
Caso necessite informação adicional sobre os produtos em causa deve solicitar aos funcionários.
Declaração nutricional: valores médios de 100 g ou 100 ml, calculados a partir dos valores médios conhecidos dos ingredientes utilizados, segundo o Instituto Nacional de Saúde Dr. Ricardo Jorge, Tabela da Composição de Alimentos (2007), e a informação disponibilizada pelos fornecedores.
Legenda: VE - Valor energético, Líp. - Lípidos, AG Sat. - Ácidos Gordos Saturados, HC - Hidratos de Carbono, Prot. - Proteínas.
</v>
      </c>
      <c r="B547" s="167"/>
      <c r="C547" s="167"/>
      <c r="D547" s="167"/>
      <c r="E547" s="167"/>
      <c r="F547" s="167"/>
      <c r="G547" s="167"/>
      <c r="H547" s="167"/>
      <c r="I547" s="167"/>
      <c r="J547" s="167"/>
      <c r="K547" s="167"/>
      <c r="L547" s="167"/>
      <c r="M547" s="167"/>
      <c r="N547" s="5"/>
    </row>
    <row r="548" spans="1:14" ht="39.950000000000003" customHeight="1">
      <c r="B548" s="26">
        <v>0</v>
      </c>
      <c r="C548" s="63" t="s">
        <v>390</v>
      </c>
      <c r="D548" s="24"/>
      <c r="E548" s="72" t="s">
        <v>389</v>
      </c>
      <c r="F548" s="37"/>
      <c r="G548" s="37"/>
      <c r="H548" s="37"/>
      <c r="I548" s="37"/>
      <c r="J548" s="37"/>
      <c r="K548" s="37"/>
      <c r="L548" s="37"/>
      <c r="M548" s="37"/>
      <c r="N548" s="1"/>
    </row>
    <row r="549" spans="1:14" ht="20.100000000000001" customHeight="1" thickBot="1">
      <c r="B549" s="17">
        <v>0</v>
      </c>
      <c r="E549" s="68"/>
      <c r="F549" s="39" t="s">
        <v>87</v>
      </c>
      <c r="G549" s="39" t="s">
        <v>88</v>
      </c>
      <c r="H549" s="39" t="s">
        <v>89</v>
      </c>
      <c r="I549" s="39" t="s">
        <v>90</v>
      </c>
      <c r="J549" s="39" t="s">
        <v>91</v>
      </c>
      <c r="K549" s="39" t="s">
        <v>476</v>
      </c>
      <c r="L549" s="39" t="s">
        <v>477</v>
      </c>
      <c r="M549" s="39" t="s">
        <v>93</v>
      </c>
      <c r="N549" s="3"/>
    </row>
    <row r="550" spans="1:14" ht="20.25" customHeight="1" thickTop="1">
      <c r="A550" s="161" t="s">
        <v>16</v>
      </c>
      <c r="B550" s="17">
        <v>0</v>
      </c>
      <c r="C550" s="27" t="s">
        <v>17</v>
      </c>
      <c r="D550" s="28"/>
      <c r="E550" s="69" t="s">
        <v>124</v>
      </c>
      <c r="F550" s="40">
        <v>569.1</v>
      </c>
      <c r="G550" s="40">
        <v>136</v>
      </c>
      <c r="H550" s="40">
        <v>3.8</v>
      </c>
      <c r="I550" s="40">
        <v>0.7</v>
      </c>
      <c r="J550" s="40">
        <v>20.399999999999999</v>
      </c>
      <c r="K550" s="40">
        <v>5.9</v>
      </c>
      <c r="L550" s="40">
        <v>4.8</v>
      </c>
      <c r="M550" s="40">
        <v>0.2</v>
      </c>
      <c r="N550" s="15" t="s">
        <v>55</v>
      </c>
    </row>
    <row r="551" spans="1:14" ht="20.100000000000001" customHeight="1">
      <c r="A551" s="162"/>
      <c r="B551" s="26">
        <v>0</v>
      </c>
      <c r="C551" s="42" t="s">
        <v>18</v>
      </c>
      <c r="D551" s="28"/>
      <c r="E551" s="78" t="s">
        <v>436</v>
      </c>
      <c r="F551" s="40">
        <v>1615.6</v>
      </c>
      <c r="G551" s="40">
        <v>386.1</v>
      </c>
      <c r="H551" s="40">
        <v>5.0999999999999996</v>
      </c>
      <c r="I551" s="40">
        <v>0.9</v>
      </c>
      <c r="J551" s="40">
        <v>67.400000000000006</v>
      </c>
      <c r="K551" s="40">
        <v>9.1999999999999993</v>
      </c>
      <c r="L551" s="40">
        <v>16.2</v>
      </c>
      <c r="M551" s="40">
        <v>0.3</v>
      </c>
      <c r="N551" s="15" t="s">
        <v>55</v>
      </c>
    </row>
    <row r="552" spans="1:14" ht="20.100000000000001" customHeight="1">
      <c r="A552" s="162"/>
      <c r="B552" s="17">
        <v>0</v>
      </c>
      <c r="C552" s="42" t="s">
        <v>373</v>
      </c>
      <c r="D552" s="28"/>
      <c r="E552" s="69" t="s">
        <v>437</v>
      </c>
      <c r="F552" s="40">
        <f>28.5+23+40</f>
        <v>91.5</v>
      </c>
      <c r="G552" s="40">
        <f>6.8+5.5+9.6</f>
        <v>21.9</v>
      </c>
      <c r="H552" s="40">
        <v>0.4</v>
      </c>
      <c r="I552" s="40">
        <v>0</v>
      </c>
      <c r="J552" s="40">
        <f>1.2+0.7+1.8</f>
        <v>3.7</v>
      </c>
      <c r="K552" s="40">
        <f>1+0.6+1.8</f>
        <v>3.4000000000000004</v>
      </c>
      <c r="L552" s="40">
        <f>0.6+0.4+0.4</f>
        <v>1.4</v>
      </c>
      <c r="M552" s="40">
        <v>0</v>
      </c>
      <c r="N552" s="15" t="s">
        <v>55</v>
      </c>
    </row>
    <row r="553" spans="1:14" ht="20.100000000000001" customHeight="1">
      <c r="A553" s="162"/>
      <c r="B553" s="26">
        <v>0</v>
      </c>
      <c r="C553" s="29" t="s">
        <v>19</v>
      </c>
      <c r="D553" s="28"/>
      <c r="E553" s="69" t="s">
        <v>38</v>
      </c>
      <c r="F553" s="40">
        <v>319.7</v>
      </c>
      <c r="G553" s="61">
        <v>76.400000000000006</v>
      </c>
      <c r="H553" s="61">
        <v>0.5</v>
      </c>
      <c r="I553" s="61">
        <v>0.2</v>
      </c>
      <c r="J553" s="61">
        <v>16.899999999999999</v>
      </c>
      <c r="K553" s="61">
        <v>16.7</v>
      </c>
      <c r="L553" s="61">
        <v>1.1000000000000001</v>
      </c>
      <c r="M553" s="61">
        <v>0</v>
      </c>
      <c r="N553" s="15" t="s">
        <v>55</v>
      </c>
    </row>
    <row r="554" spans="1:14" ht="20.100000000000001" customHeight="1">
      <c r="A554" s="162"/>
      <c r="B554" s="17">
        <v>0</v>
      </c>
      <c r="C554" s="29" t="s">
        <v>20</v>
      </c>
      <c r="D554" s="28"/>
      <c r="E554" s="70" t="s">
        <v>25</v>
      </c>
      <c r="F554" s="163" t="s">
        <v>95</v>
      </c>
      <c r="G554" s="164"/>
      <c r="H554" s="164"/>
      <c r="I554" s="164"/>
      <c r="J554" s="164"/>
      <c r="K554" s="164"/>
      <c r="L554" s="164"/>
      <c r="M554" s="165"/>
      <c r="N554" s="64"/>
    </row>
    <row r="555" spans="1:14" ht="20.100000000000001" customHeight="1">
      <c r="A555" s="30"/>
      <c r="B555" s="26">
        <v>0</v>
      </c>
      <c r="C555" s="31"/>
      <c r="D555" s="28"/>
      <c r="E555" s="71"/>
      <c r="F555" s="32"/>
      <c r="G555" s="32"/>
      <c r="H555" s="32"/>
      <c r="I555" s="32"/>
      <c r="J555" s="32"/>
      <c r="K555" s="32"/>
      <c r="L555" s="32"/>
      <c r="M555" s="32"/>
      <c r="N555" s="4"/>
    </row>
    <row r="556" spans="1:14" ht="20.100000000000001" customHeight="1" thickBot="1">
      <c r="A556" s="33"/>
      <c r="B556" s="17">
        <v>0</v>
      </c>
      <c r="C556" s="34"/>
      <c r="D556" s="28"/>
      <c r="E556" s="68"/>
      <c r="F556" s="39" t="s">
        <v>87</v>
      </c>
      <c r="G556" s="39" t="s">
        <v>88</v>
      </c>
      <c r="H556" s="39" t="s">
        <v>89</v>
      </c>
      <c r="I556" s="39" t="s">
        <v>90</v>
      </c>
      <c r="J556" s="39" t="s">
        <v>91</v>
      </c>
      <c r="K556" s="39" t="s">
        <v>476</v>
      </c>
      <c r="L556" s="39" t="s">
        <v>477</v>
      </c>
      <c r="M556" s="39" t="s">
        <v>93</v>
      </c>
      <c r="N556" s="11"/>
    </row>
    <row r="557" spans="1:14" ht="24" customHeight="1" thickTop="1">
      <c r="A557" s="161" t="s">
        <v>21</v>
      </c>
      <c r="B557" s="26">
        <v>0</v>
      </c>
      <c r="C557" s="35" t="str">
        <f>$C$7</f>
        <v>Sopa</v>
      </c>
      <c r="D557" s="28"/>
      <c r="E557" s="78" t="s">
        <v>438</v>
      </c>
      <c r="F557" s="40">
        <v>949.1</v>
      </c>
      <c r="G557" s="40">
        <v>226.8</v>
      </c>
      <c r="H557" s="40">
        <v>5.0999999999999996</v>
      </c>
      <c r="I557" s="40">
        <v>0.6</v>
      </c>
      <c r="J557" s="40">
        <v>34.799999999999997</v>
      </c>
      <c r="K557" s="40">
        <v>4.2</v>
      </c>
      <c r="L557" s="40">
        <v>9.6</v>
      </c>
      <c r="M557" s="40">
        <v>0.2</v>
      </c>
      <c r="N557" s="15" t="s">
        <v>55</v>
      </c>
    </row>
    <row r="558" spans="1:14" ht="41.25" customHeight="1">
      <c r="A558" s="162"/>
      <c r="B558" s="17">
        <v>0</v>
      </c>
      <c r="C558" s="42" t="s">
        <v>18</v>
      </c>
      <c r="D558" s="28"/>
      <c r="E558" s="78" t="s">
        <v>439</v>
      </c>
      <c r="F558" s="40">
        <f>906.9+1007.1</f>
        <v>1914</v>
      </c>
      <c r="G558" s="40">
        <f>217+240.7</f>
        <v>457.7</v>
      </c>
      <c r="H558" s="40">
        <v>4</v>
      </c>
      <c r="I558" s="40">
        <v>0.7</v>
      </c>
      <c r="J558" s="40">
        <f>30.8+51.8</f>
        <v>82.6</v>
      </c>
      <c r="K558" s="40">
        <f>5.2+3.2</f>
        <v>8.4</v>
      </c>
      <c r="L558" s="40">
        <f>13.9+6.8</f>
        <v>20.7</v>
      </c>
      <c r="M558" s="40">
        <v>0.4</v>
      </c>
      <c r="N558" s="15" t="s">
        <v>55</v>
      </c>
    </row>
    <row r="559" spans="1:14" ht="20.100000000000001" customHeight="1">
      <c r="A559" s="162"/>
      <c r="B559" s="26">
        <v>0</v>
      </c>
      <c r="C559" s="42" t="s">
        <v>373</v>
      </c>
      <c r="D559" s="28"/>
      <c r="E559" s="69" t="s">
        <v>145</v>
      </c>
      <c r="F559" s="40">
        <f>20+32.4+163.3</f>
        <v>215.70000000000002</v>
      </c>
      <c r="G559" s="40">
        <f>4.8+7.7+39.2</f>
        <v>51.7</v>
      </c>
      <c r="H559" s="40">
        <v>0.6</v>
      </c>
      <c r="I559" s="40">
        <v>0</v>
      </c>
      <c r="J559" s="40">
        <f>0.3+1.8+7.1</f>
        <v>9.1999999999999993</v>
      </c>
      <c r="K559" s="40">
        <f>0.3+1.6</f>
        <v>1.9000000000000001</v>
      </c>
      <c r="L559" s="40">
        <f>0.7+0.2+1.5</f>
        <v>2.4</v>
      </c>
      <c r="M559" s="40">
        <v>0.1</v>
      </c>
      <c r="N559" s="15" t="s">
        <v>55</v>
      </c>
    </row>
    <row r="560" spans="1:14" ht="20.100000000000001" customHeight="1">
      <c r="A560" s="162"/>
      <c r="B560" s="17">
        <v>0</v>
      </c>
      <c r="C560" s="36" t="str">
        <f>$C$10</f>
        <v>Sobremesa</v>
      </c>
      <c r="D560" s="28"/>
      <c r="E560" s="69" t="s">
        <v>38</v>
      </c>
      <c r="F560" s="40">
        <v>319.7</v>
      </c>
      <c r="G560" s="61">
        <v>76.400000000000006</v>
      </c>
      <c r="H560" s="61">
        <v>0.5</v>
      </c>
      <c r="I560" s="61">
        <v>0.2</v>
      </c>
      <c r="J560" s="61">
        <v>16.899999999999999</v>
      </c>
      <c r="K560" s="61">
        <v>16.7</v>
      </c>
      <c r="L560" s="61">
        <v>1.1000000000000001</v>
      </c>
      <c r="M560" s="61">
        <v>0</v>
      </c>
      <c r="N560" s="15" t="s">
        <v>55</v>
      </c>
    </row>
    <row r="561" spans="1:14" ht="20.100000000000001" customHeight="1">
      <c r="A561" s="162"/>
      <c r="B561" s="26">
        <v>0</v>
      </c>
      <c r="C561" s="36" t="str">
        <f>$C$11</f>
        <v>Pão</v>
      </c>
      <c r="D561" s="28"/>
      <c r="E561" s="70" t="s">
        <v>25</v>
      </c>
      <c r="F561" s="163" t="s">
        <v>95</v>
      </c>
      <c r="G561" s="164"/>
      <c r="H561" s="164"/>
      <c r="I561" s="164"/>
      <c r="J561" s="164"/>
      <c r="K561" s="164"/>
      <c r="L561" s="164"/>
      <c r="M561" s="165"/>
      <c r="N561" s="64"/>
    </row>
    <row r="562" spans="1:14" ht="20.100000000000001" customHeight="1">
      <c r="A562" s="30"/>
      <c r="B562" s="17">
        <v>0</v>
      </c>
      <c r="C562" s="31"/>
      <c r="D562" s="28"/>
      <c r="E562" s="71"/>
      <c r="F562" s="32"/>
      <c r="G562" s="32"/>
      <c r="H562" s="32"/>
      <c r="I562" s="32"/>
      <c r="J562" s="32"/>
      <c r="K562" s="32"/>
      <c r="L562" s="32"/>
      <c r="M562" s="32"/>
      <c r="N562" s="4"/>
    </row>
    <row r="563" spans="1:14" ht="20.100000000000001" customHeight="1" thickBot="1">
      <c r="A563" s="33"/>
      <c r="B563" s="26">
        <v>0</v>
      </c>
      <c r="C563" s="34"/>
      <c r="D563" s="28"/>
      <c r="F563" s="39" t="s">
        <v>87</v>
      </c>
      <c r="G563" s="39" t="s">
        <v>88</v>
      </c>
      <c r="H563" s="39" t="s">
        <v>89</v>
      </c>
      <c r="I563" s="39" t="s">
        <v>90</v>
      </c>
      <c r="J563" s="39" t="s">
        <v>91</v>
      </c>
      <c r="K563" s="39" t="s">
        <v>476</v>
      </c>
      <c r="L563" s="39" t="s">
        <v>477</v>
      </c>
      <c r="M563" s="39" t="s">
        <v>93</v>
      </c>
      <c r="N563" s="11"/>
    </row>
    <row r="564" spans="1:14" ht="34.5" customHeight="1" thickTop="1">
      <c r="A564" s="161" t="s">
        <v>22</v>
      </c>
      <c r="B564" s="17">
        <v>0</v>
      </c>
      <c r="C564" s="35" t="str">
        <f>$C$7</f>
        <v>Sopa</v>
      </c>
      <c r="D564" s="28"/>
      <c r="E564" s="78" t="s">
        <v>440</v>
      </c>
      <c r="F564" s="40">
        <v>452.4</v>
      </c>
      <c r="G564" s="40">
        <v>108.3</v>
      </c>
      <c r="H564" s="40">
        <v>3.3</v>
      </c>
      <c r="I564" s="40">
        <v>0.5</v>
      </c>
      <c r="J564" s="40">
        <v>16.3</v>
      </c>
      <c r="K564" s="40">
        <v>4.8</v>
      </c>
      <c r="L564" s="40">
        <v>3.1</v>
      </c>
      <c r="M564" s="40">
        <v>0.2</v>
      </c>
      <c r="N564" s="15" t="s">
        <v>55</v>
      </c>
    </row>
    <row r="565" spans="1:14" ht="44.25" customHeight="1">
      <c r="A565" s="162"/>
      <c r="B565" s="26">
        <v>0</v>
      </c>
      <c r="C565" s="42" t="s">
        <v>18</v>
      </c>
      <c r="D565" s="28"/>
      <c r="E565" s="69" t="s">
        <v>441</v>
      </c>
      <c r="F565" s="40">
        <f>156.7+1093.7</f>
        <v>1250.4000000000001</v>
      </c>
      <c r="G565" s="40">
        <f>37.5+261.4</f>
        <v>298.89999999999998</v>
      </c>
      <c r="H565" s="40">
        <f>3.3+3.5</f>
        <v>6.8</v>
      </c>
      <c r="I565" s="40">
        <v>1</v>
      </c>
      <c r="J565" s="40">
        <f>0.9+50.6</f>
        <v>51.5</v>
      </c>
      <c r="K565" s="40">
        <f>0.7+0.4</f>
        <v>1.1000000000000001</v>
      </c>
      <c r="L565" s="40">
        <f>1.1+5.4</f>
        <v>6.5</v>
      </c>
      <c r="M565" s="40">
        <v>0.1</v>
      </c>
      <c r="N565" s="15" t="s">
        <v>55</v>
      </c>
    </row>
    <row r="566" spans="1:14" ht="20.100000000000001" customHeight="1">
      <c r="A566" s="162"/>
      <c r="B566" s="17">
        <v>0</v>
      </c>
      <c r="C566" s="42" t="s">
        <v>373</v>
      </c>
      <c r="D566" s="28"/>
      <c r="E566" s="69" t="s">
        <v>114</v>
      </c>
      <c r="F566" s="40">
        <f>20+25.6+40</f>
        <v>85.6</v>
      </c>
      <c r="G566" s="40">
        <f>4.8+6.1+9.6</f>
        <v>20.5</v>
      </c>
      <c r="H566" s="40">
        <f>0.1+0.2+0.2</f>
        <v>0.5</v>
      </c>
      <c r="I566" s="40">
        <v>0.1</v>
      </c>
      <c r="J566" s="40">
        <f>0.3+0.6+1.8</f>
        <v>2.7</v>
      </c>
      <c r="K566" s="40">
        <f>0.3+0.6+1.8</f>
        <v>2.7</v>
      </c>
      <c r="L566" s="40">
        <f>0.7+0.5+0.4</f>
        <v>1.6</v>
      </c>
      <c r="M566" s="40">
        <v>0</v>
      </c>
      <c r="N566" s="15" t="s">
        <v>55</v>
      </c>
    </row>
    <row r="567" spans="1:14" ht="20.100000000000001" customHeight="1">
      <c r="A567" s="162"/>
      <c r="B567" s="26">
        <v>0</v>
      </c>
      <c r="C567" s="36" t="str">
        <f>$C$10</f>
        <v>Sobremesa</v>
      </c>
      <c r="D567" s="28"/>
      <c r="E567" s="69" t="s">
        <v>159</v>
      </c>
      <c r="F567" s="40" t="s">
        <v>478</v>
      </c>
      <c r="G567" s="61" t="s">
        <v>479</v>
      </c>
      <c r="H567" s="61" t="s">
        <v>480</v>
      </c>
      <c r="I567" s="61" t="s">
        <v>481</v>
      </c>
      <c r="J567" s="61" t="s">
        <v>482</v>
      </c>
      <c r="K567" s="61" t="s">
        <v>483</v>
      </c>
      <c r="L567" s="61" t="s">
        <v>484</v>
      </c>
      <c r="M567" s="61" t="s">
        <v>485</v>
      </c>
      <c r="N567" s="15" t="s">
        <v>55</v>
      </c>
    </row>
    <row r="568" spans="1:14" ht="20.100000000000001" customHeight="1">
      <c r="A568" s="162"/>
      <c r="B568" s="17">
        <v>0</v>
      </c>
      <c r="C568" s="36" t="str">
        <f>$C$11</f>
        <v>Pão</v>
      </c>
      <c r="D568" s="28"/>
      <c r="E568" s="70" t="s">
        <v>25</v>
      </c>
      <c r="F568" s="163" t="s">
        <v>95</v>
      </c>
      <c r="G568" s="164"/>
      <c r="H568" s="164"/>
      <c r="I568" s="164"/>
      <c r="J568" s="164"/>
      <c r="K568" s="164"/>
      <c r="L568" s="164"/>
      <c r="M568" s="165"/>
      <c r="N568" s="64"/>
    </row>
    <row r="569" spans="1:14" ht="20.100000000000001" customHeight="1">
      <c r="A569" s="30"/>
      <c r="B569" s="26">
        <v>0</v>
      </c>
      <c r="C569" s="31"/>
      <c r="D569" s="28"/>
      <c r="E569" s="71"/>
      <c r="F569" s="32"/>
      <c r="G569" s="32"/>
      <c r="H569" s="32"/>
      <c r="I569" s="32"/>
      <c r="J569" s="32"/>
      <c r="K569" s="32"/>
      <c r="L569" s="32"/>
      <c r="M569" s="32"/>
      <c r="N569" s="4"/>
    </row>
    <row r="570" spans="1:14" ht="20.100000000000001" customHeight="1" thickBot="1">
      <c r="A570" s="33"/>
      <c r="B570" s="17">
        <v>0</v>
      </c>
      <c r="C570" s="34"/>
      <c r="D570" s="28"/>
      <c r="E570" s="68"/>
      <c r="F570" s="39" t="s">
        <v>87</v>
      </c>
      <c r="G570" s="39" t="s">
        <v>88</v>
      </c>
      <c r="H570" s="39" t="s">
        <v>89</v>
      </c>
      <c r="I570" s="39" t="s">
        <v>90</v>
      </c>
      <c r="J570" s="39" t="s">
        <v>91</v>
      </c>
      <c r="K570" s="39" t="s">
        <v>476</v>
      </c>
      <c r="L570" s="39" t="s">
        <v>477</v>
      </c>
      <c r="M570" s="39" t="s">
        <v>93</v>
      </c>
      <c r="N570" s="11"/>
    </row>
    <row r="571" spans="1:14" ht="25.5" customHeight="1" thickTop="1">
      <c r="A571" s="161" t="s">
        <v>23</v>
      </c>
      <c r="B571" s="26">
        <v>0</v>
      </c>
      <c r="C571" s="35" t="str">
        <f>$C$7</f>
        <v>Sopa</v>
      </c>
      <c r="D571" s="28"/>
      <c r="E571" s="78" t="s">
        <v>442</v>
      </c>
      <c r="F571" s="40">
        <v>899</v>
      </c>
      <c r="G571" s="40">
        <v>215.1</v>
      </c>
      <c r="H571" s="40">
        <v>3.9</v>
      </c>
      <c r="I571" s="40">
        <v>0.6</v>
      </c>
      <c r="J571" s="40">
        <v>32.4</v>
      </c>
      <c r="K571" s="40">
        <v>4.5999999999999996</v>
      </c>
      <c r="L571" s="40">
        <v>11.8</v>
      </c>
      <c r="M571" s="40">
        <v>0.2</v>
      </c>
      <c r="N571" s="15" t="s">
        <v>55</v>
      </c>
    </row>
    <row r="572" spans="1:14" ht="49.5" customHeight="1">
      <c r="A572" s="162"/>
      <c r="B572" s="17">
        <v>0</v>
      </c>
      <c r="C572" s="42" t="s">
        <v>18</v>
      </c>
      <c r="D572" s="28"/>
      <c r="E572" s="78" t="s">
        <v>417</v>
      </c>
      <c r="F572" s="60">
        <f>445+787.2</f>
        <v>1232.2</v>
      </c>
      <c r="G572" s="40">
        <f>106.4+188.1</f>
        <v>294.5</v>
      </c>
      <c r="H572" s="40">
        <f>3.2+0.1</f>
        <v>3.3000000000000003</v>
      </c>
      <c r="I572" s="40">
        <v>0.5</v>
      </c>
      <c r="J572" s="40">
        <f>12.6+39.9</f>
        <v>52.5</v>
      </c>
      <c r="K572" s="40">
        <f>0.9+3.2</f>
        <v>4.1000000000000005</v>
      </c>
      <c r="L572" s="40">
        <f>6.5+5.8</f>
        <v>12.3</v>
      </c>
      <c r="M572" s="40">
        <v>0.2</v>
      </c>
      <c r="N572" s="15" t="s">
        <v>55</v>
      </c>
    </row>
    <row r="573" spans="1:14" ht="20.100000000000001" customHeight="1">
      <c r="A573" s="162"/>
      <c r="B573" s="26">
        <v>0</v>
      </c>
      <c r="C573" s="42" t="s">
        <v>373</v>
      </c>
      <c r="D573" s="28"/>
      <c r="E573" s="69" t="s">
        <v>127</v>
      </c>
      <c r="F573" s="40">
        <f>32.4+28.5+40</f>
        <v>100.9</v>
      </c>
      <c r="G573" s="40">
        <f>7.7+6.8+9.6</f>
        <v>24.1</v>
      </c>
      <c r="H573" s="40">
        <v>0.2</v>
      </c>
      <c r="I573" s="40">
        <v>0</v>
      </c>
      <c r="J573" s="40">
        <f>1.8+1.2+1.8</f>
        <v>4.8</v>
      </c>
      <c r="K573" s="40">
        <f>1.6+1+1.8</f>
        <v>4.4000000000000004</v>
      </c>
      <c r="L573" s="40">
        <f>0.2+0.6+0.4</f>
        <v>1.2000000000000002</v>
      </c>
      <c r="M573" s="40">
        <v>0.1</v>
      </c>
      <c r="N573" s="15" t="s">
        <v>55</v>
      </c>
    </row>
    <row r="574" spans="1:14" ht="20.100000000000001" customHeight="1">
      <c r="A574" s="162"/>
      <c r="B574" s="17">
        <v>0</v>
      </c>
      <c r="C574" s="36" t="str">
        <f>$C$10</f>
        <v>Sobremesa</v>
      </c>
      <c r="D574" s="28"/>
      <c r="E574" s="69" t="s">
        <v>38</v>
      </c>
      <c r="F574" s="40">
        <v>319.7</v>
      </c>
      <c r="G574" s="61">
        <v>76.400000000000006</v>
      </c>
      <c r="H574" s="61">
        <v>0.5</v>
      </c>
      <c r="I574" s="61">
        <v>0.2</v>
      </c>
      <c r="J574" s="61">
        <v>16.899999999999999</v>
      </c>
      <c r="K574" s="61">
        <v>16.7</v>
      </c>
      <c r="L574" s="61">
        <v>1.1000000000000001</v>
      </c>
      <c r="M574" s="61">
        <v>0</v>
      </c>
      <c r="N574" s="15" t="s">
        <v>55</v>
      </c>
    </row>
    <row r="575" spans="1:14" ht="20.100000000000001" customHeight="1">
      <c r="A575" s="162"/>
      <c r="B575" s="26">
        <v>0</v>
      </c>
      <c r="C575" s="36" t="str">
        <f>$C$11</f>
        <v>Pão</v>
      </c>
      <c r="D575" s="28"/>
      <c r="E575" s="70" t="s">
        <v>25</v>
      </c>
      <c r="F575" s="163" t="s">
        <v>95</v>
      </c>
      <c r="G575" s="164"/>
      <c r="H575" s="164"/>
      <c r="I575" s="164"/>
      <c r="J575" s="164"/>
      <c r="K575" s="164"/>
      <c r="L575" s="164"/>
      <c r="M575" s="165"/>
      <c r="N575" s="64"/>
    </row>
    <row r="576" spans="1:14" ht="20.100000000000001" customHeight="1">
      <c r="A576" s="30"/>
      <c r="B576" s="17">
        <v>0</v>
      </c>
      <c r="C576" s="31"/>
      <c r="D576" s="28"/>
      <c r="E576" s="71"/>
      <c r="F576" s="32"/>
      <c r="G576" s="32"/>
      <c r="H576" s="32"/>
      <c r="I576" s="32"/>
      <c r="J576" s="32"/>
      <c r="K576" s="32"/>
      <c r="L576" s="32"/>
      <c r="M576" s="32"/>
      <c r="N576" s="4"/>
    </row>
    <row r="577" spans="1:14" ht="20.100000000000001" customHeight="1" thickBot="1">
      <c r="A577" s="33"/>
      <c r="B577" s="26">
        <v>0</v>
      </c>
      <c r="C577" s="34"/>
      <c r="D577" s="28"/>
      <c r="E577" s="68"/>
      <c r="F577" s="39" t="s">
        <v>87</v>
      </c>
      <c r="G577" s="39" t="s">
        <v>88</v>
      </c>
      <c r="H577" s="39" t="s">
        <v>89</v>
      </c>
      <c r="I577" s="39" t="s">
        <v>90</v>
      </c>
      <c r="J577" s="39" t="s">
        <v>91</v>
      </c>
      <c r="K577" s="39" t="s">
        <v>476</v>
      </c>
      <c r="L577" s="39" t="s">
        <v>477</v>
      </c>
      <c r="M577" s="39" t="s">
        <v>93</v>
      </c>
      <c r="N577" s="11"/>
    </row>
    <row r="578" spans="1:14" ht="33" customHeight="1" thickTop="1">
      <c r="A578" s="161" t="s">
        <v>24</v>
      </c>
      <c r="B578" s="17">
        <v>0</v>
      </c>
      <c r="C578" s="35" t="str">
        <f>$C$7</f>
        <v>Sopa</v>
      </c>
      <c r="D578" s="28"/>
      <c r="E578" s="69" t="s">
        <v>443</v>
      </c>
      <c r="F578" s="40">
        <v>798.5</v>
      </c>
      <c r="G578" s="40">
        <v>190.8</v>
      </c>
      <c r="H578" s="40">
        <v>6.7</v>
      </c>
      <c r="I578" s="40">
        <v>1.7</v>
      </c>
      <c r="J578" s="40">
        <v>25.2</v>
      </c>
      <c r="K578" s="40">
        <v>3.2</v>
      </c>
      <c r="L578" s="40">
        <v>6.8</v>
      </c>
      <c r="M578" s="40">
        <v>0.7</v>
      </c>
      <c r="N578" s="15" t="s">
        <v>55</v>
      </c>
    </row>
    <row r="579" spans="1:14" ht="40.5" customHeight="1">
      <c r="A579" s="162"/>
      <c r="B579" s="26">
        <v>0</v>
      </c>
      <c r="C579" s="42" t="s">
        <v>18</v>
      </c>
      <c r="D579" s="28"/>
      <c r="E579" s="78" t="s">
        <v>418</v>
      </c>
      <c r="F579" s="60">
        <v>1137.3</v>
      </c>
      <c r="G579" s="40">
        <v>271.8</v>
      </c>
      <c r="H579" s="40">
        <v>3.7</v>
      </c>
      <c r="I579" s="40">
        <v>0.6</v>
      </c>
      <c r="J579" s="40">
        <v>50.7</v>
      </c>
      <c r="K579" s="40">
        <v>1.8</v>
      </c>
      <c r="L579" s="40">
        <v>7.1</v>
      </c>
      <c r="M579" s="40">
        <v>0.1</v>
      </c>
      <c r="N579" s="15" t="s">
        <v>55</v>
      </c>
    </row>
    <row r="580" spans="1:14" ht="33" customHeight="1">
      <c r="A580" s="162"/>
      <c r="B580" s="17">
        <v>0</v>
      </c>
      <c r="C580" s="42" t="s">
        <v>373</v>
      </c>
      <c r="D580" s="28"/>
      <c r="E580" s="69" t="s">
        <v>99</v>
      </c>
      <c r="F580" s="40">
        <f>20+30+163.3</f>
        <v>213.3</v>
      </c>
      <c r="G580" s="40">
        <f>4.8+7.2+39.2</f>
        <v>51.2</v>
      </c>
      <c r="H580" s="40">
        <v>0.6</v>
      </c>
      <c r="I580" s="40">
        <v>0</v>
      </c>
      <c r="J580" s="40">
        <f>0.3+1.4+7.1</f>
        <v>8.7999999999999989</v>
      </c>
      <c r="K580" s="40">
        <f>0.3+1.4</f>
        <v>1.7</v>
      </c>
      <c r="L580" s="40">
        <f>0.7+0.4+1.5</f>
        <v>2.6</v>
      </c>
      <c r="M580" s="40">
        <v>0.1</v>
      </c>
      <c r="N580" s="15" t="s">
        <v>55</v>
      </c>
    </row>
    <row r="581" spans="1:14" ht="20.100000000000001" customHeight="1">
      <c r="A581" s="162"/>
      <c r="B581" s="26">
        <v>0</v>
      </c>
      <c r="C581" s="36" t="str">
        <f>$C$10</f>
        <v>Sobremesa</v>
      </c>
      <c r="D581" s="28"/>
      <c r="E581" s="69" t="s">
        <v>38</v>
      </c>
      <c r="F581" s="40">
        <v>319.7</v>
      </c>
      <c r="G581" s="61">
        <v>76.400000000000006</v>
      </c>
      <c r="H581" s="61">
        <v>0.5</v>
      </c>
      <c r="I581" s="61">
        <v>0.2</v>
      </c>
      <c r="J581" s="61">
        <v>16.899999999999999</v>
      </c>
      <c r="K581" s="61">
        <v>16.7</v>
      </c>
      <c r="L581" s="61">
        <v>1.1000000000000001</v>
      </c>
      <c r="M581" s="61">
        <v>0</v>
      </c>
      <c r="N581" s="15" t="s">
        <v>55</v>
      </c>
    </row>
    <row r="582" spans="1:14" ht="41.25" customHeight="1">
      <c r="A582" s="162"/>
      <c r="B582" s="17">
        <v>0</v>
      </c>
      <c r="C582" s="36" t="str">
        <f>$C$11</f>
        <v>Pão</v>
      </c>
      <c r="D582" s="28"/>
      <c r="E582" s="70" t="s">
        <v>25</v>
      </c>
      <c r="F582" s="163" t="s">
        <v>95</v>
      </c>
      <c r="G582" s="164"/>
      <c r="H582" s="164"/>
      <c r="I582" s="164"/>
      <c r="J582" s="164"/>
      <c r="K582" s="164"/>
      <c r="L582" s="164"/>
      <c r="M582" s="165"/>
      <c r="N582" s="64"/>
    </row>
    <row r="583" spans="1:14" ht="132" customHeight="1">
      <c r="A583" s="166" t="str">
        <f>+A$40</f>
        <v xml:space="preserve">
A sua refeição contém ou pode conter as seguintes substâncias ou produtos e seus derivados: 1Cereais que contêm glúten, 2Crustáceos , 3Ovos, 4Peixes, 5Amendoins, 6Soja, 7Leite, 8Frutos de casca rija, 9Aipo, 10Mostarda, 11Sementes de sésamo, 12Dióxido de enxofre e sulfitos, 13Tremoço, 14Moluscos. 
Para quem não é alérgico ou intolerante, estas substâncias ou produtos são completamente inofensivas. 
Caso necessite informação adicional sobre os produtos em causa deve solicitar aos funcionários.
Declaração nutricional: valores médios de 100 g ou 100 ml, calculados a partir dos valores médios conhecidos dos ingredientes utilizados, segundo o Instituto Nacional de Saúde Dr. Ricardo Jorge, Tabela da Composição de Alimentos (2007), e a informação disponibilizada pelos fornecedores.
Legenda: VE - Valor energético, Líp. - Lípidos, AG Sat. - Ácidos Gordos Saturados, HC - Hidratos de Carbono, Prot. - Proteínas.
</v>
      </c>
      <c r="B583" s="167"/>
      <c r="C583" s="167"/>
      <c r="D583" s="167"/>
      <c r="E583" s="167"/>
      <c r="F583" s="167"/>
      <c r="G583" s="167"/>
      <c r="H583" s="167"/>
      <c r="I583" s="167"/>
      <c r="J583" s="167"/>
      <c r="K583" s="167"/>
      <c r="L583" s="167"/>
      <c r="M583" s="167"/>
      <c r="N583" s="5"/>
    </row>
    <row r="584" spans="1:14" ht="20.100000000000001" customHeight="1">
      <c r="B584" s="26"/>
      <c r="C584" s="23"/>
      <c r="D584" s="24"/>
      <c r="E584" s="77"/>
      <c r="F584" s="37"/>
      <c r="G584" s="37"/>
      <c r="H584" s="37"/>
      <c r="I584" s="37"/>
      <c r="J584" s="37"/>
      <c r="K584" s="37"/>
      <c r="L584" s="37"/>
      <c r="M584" s="37"/>
      <c r="N584" s="12"/>
    </row>
  </sheetData>
  <autoFilter ref="A4:M434"/>
  <mergeCells count="266">
    <mergeCell ref="H15:H16"/>
    <mergeCell ref="A7:A11"/>
    <mergeCell ref="C8:C9"/>
    <mergeCell ref="F8:F9"/>
    <mergeCell ref="G8:G9"/>
    <mergeCell ref="H8:H9"/>
    <mergeCell ref="A14:A18"/>
    <mergeCell ref="C15:C16"/>
    <mergeCell ref="F15:F16"/>
    <mergeCell ref="G15:G16"/>
    <mergeCell ref="J8:J9"/>
    <mergeCell ref="K8:K9"/>
    <mergeCell ref="L8:L9"/>
    <mergeCell ref="M8:M9"/>
    <mergeCell ref="F11:M11"/>
    <mergeCell ref="I8:I9"/>
    <mergeCell ref="A28:A32"/>
    <mergeCell ref="C29:C30"/>
    <mergeCell ref="F29:F30"/>
    <mergeCell ref="G29:G30"/>
    <mergeCell ref="M15:M16"/>
    <mergeCell ref="F18:M18"/>
    <mergeCell ref="I15:I16"/>
    <mergeCell ref="J15:J16"/>
    <mergeCell ref="K15:K16"/>
    <mergeCell ref="L15:L16"/>
    <mergeCell ref="I29:I30"/>
    <mergeCell ref="J29:J30"/>
    <mergeCell ref="K29:K30"/>
    <mergeCell ref="L29:L30"/>
    <mergeCell ref="H29:H30"/>
    <mergeCell ref="A21:A25"/>
    <mergeCell ref="C22:C23"/>
    <mergeCell ref="F22:F23"/>
    <mergeCell ref="G22:G23"/>
    <mergeCell ref="H22:H23"/>
    <mergeCell ref="L36:L37"/>
    <mergeCell ref="M36:M37"/>
    <mergeCell ref="M29:M30"/>
    <mergeCell ref="F32:M32"/>
    <mergeCell ref="J22:J23"/>
    <mergeCell ref="K22:K23"/>
    <mergeCell ref="L22:L23"/>
    <mergeCell ref="M22:M23"/>
    <mergeCell ref="F25:M25"/>
    <mergeCell ref="I22:I23"/>
    <mergeCell ref="F39:M39"/>
    <mergeCell ref="A40:M40"/>
    <mergeCell ref="A35:A39"/>
    <mergeCell ref="C36:C37"/>
    <mergeCell ref="F36:F37"/>
    <mergeCell ref="G36:G37"/>
    <mergeCell ref="H36:H37"/>
    <mergeCell ref="I36:I37"/>
    <mergeCell ref="J36:J37"/>
    <mergeCell ref="K36:K37"/>
    <mergeCell ref="F47:M47"/>
    <mergeCell ref="A50:A54"/>
    <mergeCell ref="A43:A47"/>
    <mergeCell ref="F61:M61"/>
    <mergeCell ref="F54:M54"/>
    <mergeCell ref="F75:M75"/>
    <mergeCell ref="A93:A97"/>
    <mergeCell ref="A86:A90"/>
    <mergeCell ref="F97:M97"/>
    <mergeCell ref="F90:M90"/>
    <mergeCell ref="F68:M68"/>
    <mergeCell ref="A71:A75"/>
    <mergeCell ref="A64:A68"/>
    <mergeCell ref="A76:M76"/>
    <mergeCell ref="A107:A111"/>
    <mergeCell ref="A100:A104"/>
    <mergeCell ref="F111:M111"/>
    <mergeCell ref="F104:M104"/>
    <mergeCell ref="A79:A83"/>
    <mergeCell ref="F83:M83"/>
    <mergeCell ref="A112:M112"/>
    <mergeCell ref="A115:A119"/>
    <mergeCell ref="A57:A61"/>
    <mergeCell ref="A143:A147"/>
    <mergeCell ref="F147:M147"/>
    <mergeCell ref="A136:A140"/>
    <mergeCell ref="A148:M148"/>
    <mergeCell ref="F133:M133"/>
    <mergeCell ref="F119:M119"/>
    <mergeCell ref="A122:A126"/>
    <mergeCell ref="F126:M126"/>
    <mergeCell ref="A129:A133"/>
    <mergeCell ref="F140:M140"/>
    <mergeCell ref="F183:M183"/>
    <mergeCell ref="A151:A155"/>
    <mergeCell ref="F155:M155"/>
    <mergeCell ref="F162:M162"/>
    <mergeCell ref="A165:A169"/>
    <mergeCell ref="A158:A162"/>
    <mergeCell ref="F169:M169"/>
    <mergeCell ref="F198:M198"/>
    <mergeCell ref="A201:A205"/>
    <mergeCell ref="A194:A198"/>
    <mergeCell ref="F205:M205"/>
    <mergeCell ref="A172:A176"/>
    <mergeCell ref="F176:M176"/>
    <mergeCell ref="A184:M184"/>
    <mergeCell ref="A187:A191"/>
    <mergeCell ref="F191:M191"/>
    <mergeCell ref="A179:A183"/>
    <mergeCell ref="A256:M256"/>
    <mergeCell ref="A259:A263"/>
    <mergeCell ref="F263:M263"/>
    <mergeCell ref="A251:A255"/>
    <mergeCell ref="F255:M255"/>
    <mergeCell ref="F241:M241"/>
    <mergeCell ref="A244:A248"/>
    <mergeCell ref="F248:M248"/>
    <mergeCell ref="A208:A212"/>
    <mergeCell ref="F212:M212"/>
    <mergeCell ref="A220:M220"/>
    <mergeCell ref="A223:A227"/>
    <mergeCell ref="F227:M227"/>
    <mergeCell ref="A215:A219"/>
    <mergeCell ref="F219:M219"/>
    <mergeCell ref="F234:M234"/>
    <mergeCell ref="A237:A241"/>
    <mergeCell ref="A230:A234"/>
    <mergeCell ref="F277:M277"/>
    <mergeCell ref="A280:A284"/>
    <mergeCell ref="F270:M270"/>
    <mergeCell ref="A273:A277"/>
    <mergeCell ref="A266:A270"/>
    <mergeCell ref="F284:M284"/>
    <mergeCell ref="A316:A320"/>
    <mergeCell ref="A292:M292"/>
    <mergeCell ref="A295:A299"/>
    <mergeCell ref="F299:M299"/>
    <mergeCell ref="A309:A313"/>
    <mergeCell ref="A302:A306"/>
    <mergeCell ref="F313:M313"/>
    <mergeCell ref="F306:M306"/>
    <mergeCell ref="F320:M320"/>
    <mergeCell ref="A328:M328"/>
    <mergeCell ref="A331:A335"/>
    <mergeCell ref="A323:A327"/>
    <mergeCell ref="F327:M327"/>
    <mergeCell ref="F356:M356"/>
    <mergeCell ref="F377:F378"/>
    <mergeCell ref="G377:G378"/>
    <mergeCell ref="A287:A291"/>
    <mergeCell ref="F291:M291"/>
    <mergeCell ref="M370:M371"/>
    <mergeCell ref="F373:M373"/>
    <mergeCell ref="I370:I371"/>
    <mergeCell ref="I377:I378"/>
    <mergeCell ref="J377:J378"/>
    <mergeCell ref="F349:M349"/>
    <mergeCell ref="F335:M335"/>
    <mergeCell ref="A338:A342"/>
    <mergeCell ref="F342:M342"/>
    <mergeCell ref="A345:A349"/>
    <mergeCell ref="I398:I399"/>
    <mergeCell ref="F398:F399"/>
    <mergeCell ref="G398:G399"/>
    <mergeCell ref="H398:H399"/>
    <mergeCell ref="J384:J385"/>
    <mergeCell ref="F363:M363"/>
    <mergeCell ref="A364:M364"/>
    <mergeCell ref="A359:A363"/>
    <mergeCell ref="A352:A356"/>
    <mergeCell ref="K377:K378"/>
    <mergeCell ref="L377:L378"/>
    <mergeCell ref="H377:H378"/>
    <mergeCell ref="A369:A373"/>
    <mergeCell ref="C370:C371"/>
    <mergeCell ref="F370:F371"/>
    <mergeCell ref="G370:G371"/>
    <mergeCell ref="H370:H371"/>
    <mergeCell ref="A376:A380"/>
    <mergeCell ref="C377:C378"/>
    <mergeCell ref="M377:M378"/>
    <mergeCell ref="F380:M380"/>
    <mergeCell ref="J370:J371"/>
    <mergeCell ref="K370:K371"/>
    <mergeCell ref="L370:L371"/>
    <mergeCell ref="K391:K392"/>
    <mergeCell ref="L391:L392"/>
    <mergeCell ref="C384:C385"/>
    <mergeCell ref="F384:F385"/>
    <mergeCell ref="G384:G385"/>
    <mergeCell ref="H384:H385"/>
    <mergeCell ref="A390:A394"/>
    <mergeCell ref="C391:C392"/>
    <mergeCell ref="F391:F392"/>
    <mergeCell ref="G391:G392"/>
    <mergeCell ref="K384:K385"/>
    <mergeCell ref="L384:L385"/>
    <mergeCell ref="A474:M474"/>
    <mergeCell ref="A477:A481"/>
    <mergeCell ref="F481:M481"/>
    <mergeCell ref="A462:A466"/>
    <mergeCell ref="A433:A437"/>
    <mergeCell ref="A469:A473"/>
    <mergeCell ref="F473:M473"/>
    <mergeCell ref="A426:A430"/>
    <mergeCell ref="F437:M437"/>
    <mergeCell ref="F430:M430"/>
    <mergeCell ref="F466:M466"/>
    <mergeCell ref="A441:A445"/>
    <mergeCell ref="F459:M459"/>
    <mergeCell ref="F445:M445"/>
    <mergeCell ref="A448:A452"/>
    <mergeCell ref="F452:M452"/>
    <mergeCell ref="A455:A459"/>
    <mergeCell ref="M384:M385"/>
    <mergeCell ref="F387:M387"/>
    <mergeCell ref="I384:I385"/>
    <mergeCell ref="A383:A387"/>
    <mergeCell ref="A438:M438"/>
    <mergeCell ref="A419:A423"/>
    <mergeCell ref="A412:A416"/>
    <mergeCell ref="F423:M423"/>
    <mergeCell ref="F416:M416"/>
    <mergeCell ref="F401:M401"/>
    <mergeCell ref="H391:H392"/>
    <mergeCell ref="K398:K399"/>
    <mergeCell ref="L398:L399"/>
    <mergeCell ref="M398:M399"/>
    <mergeCell ref="A405:A409"/>
    <mergeCell ref="F409:M409"/>
    <mergeCell ref="J398:J399"/>
    <mergeCell ref="A402:M402"/>
    <mergeCell ref="A397:A401"/>
    <mergeCell ref="C398:C399"/>
    <mergeCell ref="M391:M392"/>
    <mergeCell ref="F394:M394"/>
    <mergeCell ref="I391:I392"/>
    <mergeCell ref="J391:J392"/>
    <mergeCell ref="A514:A518"/>
    <mergeCell ref="F518:M518"/>
    <mergeCell ref="A521:A525"/>
    <mergeCell ref="F525:M525"/>
    <mergeCell ref="A498:A502"/>
    <mergeCell ref="F488:M488"/>
    <mergeCell ref="F509:M509"/>
    <mergeCell ref="F495:M495"/>
    <mergeCell ref="A564:A568"/>
    <mergeCell ref="F568:M568"/>
    <mergeCell ref="A528:A532"/>
    <mergeCell ref="F532:M532"/>
    <mergeCell ref="A535:A539"/>
    <mergeCell ref="A542:A546"/>
    <mergeCell ref="F546:M546"/>
    <mergeCell ref="F539:M539"/>
    <mergeCell ref="A510:M510"/>
    <mergeCell ref="F502:M502"/>
    <mergeCell ref="A505:A509"/>
    <mergeCell ref="A491:A495"/>
    <mergeCell ref="A484:A488"/>
    <mergeCell ref="A571:A575"/>
    <mergeCell ref="F575:M575"/>
    <mergeCell ref="A578:A582"/>
    <mergeCell ref="F582:M582"/>
    <mergeCell ref="A583:M583"/>
    <mergeCell ref="A547:M547"/>
    <mergeCell ref="A550:A554"/>
    <mergeCell ref="F554:M554"/>
    <mergeCell ref="A557:A561"/>
    <mergeCell ref="F561:M561"/>
  </mergeCells>
  <phoneticPr fontId="43" type="noConversion"/>
  <conditionalFormatting sqref="E583:N64669 E150:N150 E114:N114 E6:M6 E27:M27 E20:M20 E13:M13 E34:M34 E368:M368 E389:M389 E382:M382 E375:M375 E396:M396 E417 E193:N193 F164:N164 A512:D524 A526:D582 E544:E547 E563:N563 E549:N549 E534:N534 E556:N556 E570:N570 E577:N577 E513:N513 E520:N520 E527:N527 E541:N541 E489:E490 E525:E528 E539:E542 E523 E530 E549:E552 E566 E580 N512:N524 E561:M564 N526:N582 E582:M582 E42:N42 E49:N49 E56:N56 F63:N63 E70:N70 E78:N78 F85:N85 F92:N92 F99:N99 E106:N106 F113:M114 E121:N121 F128:N128 F135:M135 E142:N142 F150:M151 E157:N157 F164:M165 E171:N171 E178:N178 E186:N186 F193:M194 E200:N200 E207:N207 E214:N214 E222:N222 E229:N229 E236:N236 E243:N243 E250:N250 E258:N258 E265:N265 F272:N272 E279:N279 E286:N286 E294:N294 E301:N301 E308:N308 F315:N315 E322:N322 E330:N330 E337:N337 E344:N344 E351:N351 E358:N358 F404:N404 F411:N411 E418:N418 E425:N425 E432:N432 E440:N440 F447:N447 F454:N454 F461:N461 E468:N468 E476:N476 E483:N483 F490:N490 E497:N497 E504:N504 F568:M571 E513:E516 F526:M529 E518:M521 F512:M513 F539:M550 E532:E537 F532:M535 E554:E559 E568:E573 F554:M557 E575:M578">
    <cfRule type="cellIs" dxfId="12" priority="400" stopIfTrue="1" operator="equal">
      <formula>"z"</formula>
    </cfRule>
  </conditionalFormatting>
  <conditionalFormatting sqref="E18:M18 E11:M11 E39:M39 E32:M32 E25:M25 E380:M380 E373:M373 E401:M401 E394:M394 E387:M387 E313:M313 E554:M554 E54:N54 E68:N68 E61:N61 E83:M83 E104:M104 N505:N508 F97:M97 E90:M90 E119:M119 E126:M126 E133:M133 E147:N147 E183:N183 E155:M155 E169:M169 E162:N162 E176:N176 N172:N175 E219:M219 E205:M205 F191:M191 F111:M111 E198:M198 N82:N83 F227:M227 E248:M248 E234:M234 E255:M255 E263:M263 E270:M270 E284:M284 E291:N291 E277:M277 E299:M299 F212:M212 E320:M320 E327:M327 E363:N363 E423:M423 E416:M416 E437:M437 F241:M241 E430:M430 E459:M459 E356:F356 F495:M495 E445:M445 E481:M481 F488:N488 E502:N502 E509:N509 E47:N47 N43:N46 F306:M306 E342:M342 E349:M349 E140:F140 E452:N452 N309:N313 F335:M335 E525:N525 E545:N546 N541:N545 E561:N561 E575:N575 E582:N582 E466:F466 F409:M409 E568:M568 E473:F473 E441:E445 E100:E104 E455:E459 E79:E83 E86:E90 E93:E97 E44 E50 E107:E111 E462:E466 E518:M518 E539:M539 E448:E452 E433:E437 E66 E469:E473 E532:M532 N129:N133 E151:E153 E75:F75 N295 N298:N299 N50:N53 N57:N60 N64:N67 N71:N75 N86:N90 N93:N97 N100:N104 N107:N111 N115:N119 N122:N126 N136:N140 N143:N146 N151:N155 N158:N161 N165:N169 N179:N182 N187:N191 N194:N198 N201:N205 N208:N212 N215:N219 N223:N227 N230:N234 N237:N241 N244:N248 N251:N255 N259:N263 N266:N270 N273:N277 N280:N284 N287:N290 N302:N306 N316:N320 N323:N327 N331:N335 N338:N342 N345:N349 N352:N356 N359:N362 N405:N409 N412:N416 N419:N423 N426:N430 N433:N437 N441:N445 N448:N451 N455:N459 N462:N466 N469:N473 N477:N481 N484:N487 N491:N495 N498:N501 N513:N518 N520:N524 N527:N532 N534:N539 N549:N554 N556:N560 N563:N568 N570:N574 N577:N581">
    <cfRule type="cellIs" dxfId="11" priority="399" stopIfTrue="1" operator="equal">
      <formula>"z"</formula>
    </cfRule>
  </conditionalFormatting>
  <conditionalFormatting sqref="N296:N297">
    <cfRule type="cellIs" dxfId="10" priority="11" stopIfTrue="1" operator="equal">
      <formula>"z"</formula>
    </cfRule>
  </conditionalFormatting>
  <conditionalFormatting sqref="N81">
    <cfRule type="cellIs" dxfId="9" priority="10" stopIfTrue="1" operator="equal">
      <formula>"z"</formula>
    </cfRule>
  </conditionalFormatting>
  <conditionalFormatting sqref="N297">
    <cfRule type="cellIs" dxfId="8" priority="9" stopIfTrue="1" operator="equal">
      <formula>"z"</formula>
    </cfRule>
  </conditionalFormatting>
  <conditionalFormatting sqref="F153:M153">
    <cfRule type="cellIs" dxfId="7" priority="8" stopIfTrue="1" operator="equal">
      <formula>"z"</formula>
    </cfRule>
  </conditionalFormatting>
  <conditionalFormatting sqref="F196:M196">
    <cfRule type="cellIs" dxfId="6" priority="7" stopIfTrue="1" operator="equal">
      <formula>"z"</formula>
    </cfRule>
  </conditionalFormatting>
  <conditionalFormatting sqref="F529:M529">
    <cfRule type="cellIs" dxfId="5" priority="6" stopIfTrue="1" operator="equal">
      <formula>"z"</formula>
    </cfRule>
  </conditionalFormatting>
  <conditionalFormatting sqref="F209:M209">
    <cfRule type="cellIs" dxfId="4" priority="5" stopIfTrue="1" operator="equal">
      <formula>"z"</formula>
    </cfRule>
  </conditionalFormatting>
  <conditionalFormatting sqref="F238:M238">
    <cfRule type="cellIs" dxfId="3" priority="4" stopIfTrue="1" operator="equal">
      <formula>"z"</formula>
    </cfRule>
  </conditionalFormatting>
  <conditionalFormatting sqref="F159:M159">
    <cfRule type="cellIs" dxfId="2" priority="3" stopIfTrue="1" operator="equal">
      <formula>"z"</formula>
    </cfRule>
  </conditionalFormatting>
  <conditionalFormatting sqref="F188:M188">
    <cfRule type="cellIs" dxfId="1" priority="2" stopIfTrue="1" operator="equal">
      <formula>"z"</formula>
    </cfRule>
  </conditionalFormatting>
  <conditionalFormatting sqref="F195:M195">
    <cfRule type="cellIs" dxfId="0" priority="1" stopIfTrue="1" operator="equal">
      <formula>"z"</formula>
    </cfRule>
  </conditionalFormatting>
  <hyperlinks>
    <hyperlink ref="N353" location="'1FT Prato'!A366" tooltip="Ficha Técnica" display="FT"/>
    <hyperlink ref="N72" location="'1FT Prato'!A96" tooltip="Ficha Técnica" display="FT"/>
    <hyperlink ref="N65" location="'1FT Prato'!A392" tooltip="Ficha Técnica" display="FT"/>
    <hyperlink ref="N50" location="'2 FTSopas'!A178" tooltip="Ficha Técnica" display="FT"/>
    <hyperlink ref="N57" location="'2 FTSopas'!A52" tooltip="Ficha Técnica" display="FT"/>
    <hyperlink ref="N64" location="'2 FTSopas'!A270" tooltip="Ficha Técnica" display="FT"/>
    <hyperlink ref="N71" location="'2 FTSopas'!A201" tooltip="Ficha Técnica" display="FT"/>
    <hyperlink ref="N74" location="'4 FTsobremesas'!A14" tooltip="Ficha Técnica" display="FT"/>
    <hyperlink ref="N51" location="'1FT Prato'!A281" tooltip="Ficha Técnica" display="FT"/>
    <hyperlink ref="N58" location="'1FT Prato'!A91" tooltip="Ficha Técnica" display="FT"/>
    <hyperlink ref="N53" location="'4 FTsobremesas'!A24" tooltip="Ficha Técnica" display="FT"/>
    <hyperlink ref="N107" location="'2 FTSopas'!A80" tooltip="Ficha Técnica" display="FT"/>
    <hyperlink ref="N103" location="'4 FTsobremesas'!A20" tooltip="Ficha Técnica" display="FT"/>
    <hyperlink ref="N93" location="'2 FTSopas'!A359" display="FT"/>
    <hyperlink ref="N80" location="'1FT Prato'!A117" display="FT"/>
    <hyperlink ref="N79" location="'2 FTSopas'!A121" display="FT"/>
    <hyperlink ref="N94" location="'1FT Prato'!A303" tooltip="Ficha Técnica" display="FT"/>
    <hyperlink ref="N108" location="'1FT Prato'!A311" tooltip="Ficha Técnica" display="FT"/>
    <hyperlink ref="N101" location="'1FT Prato'!A159" display="FT"/>
    <hyperlink ref="N86" location="'2 FTSopas'!A217" display="FT"/>
    <hyperlink ref="N87" location="'1FT Prato'!A299" display="FT"/>
    <hyperlink ref="N89" location="'4 FTsobremesas'!A24" display="FT"/>
    <hyperlink ref="N100" location="'2 FTSopas'!A89" display="FT"/>
    <hyperlink ref="N116" location="'1FT Prato'!A166" tooltip="Ficha Técnica" display="FT"/>
    <hyperlink ref="N115" location="'2 FTSopas'!A36" tooltip="Ficha Técnica" display="FT"/>
    <hyperlink ref="N122" location="'2 FTSopas'!A193" tooltip="Ficha Técnica" display="FT"/>
    <hyperlink ref="N118" location="'4 FTsobremesas'!A14" tooltip="Ficha Técnica" display="FT"/>
    <hyperlink ref="N123" location="'1FT Prato'!A318" tooltip="Ficha Técnica" display="FT"/>
    <hyperlink ref="N130" location="'1FT Prato'!A266" tooltip="Ficha Técnica" display="FT"/>
    <hyperlink ref="N129" location="'2 FTSopas'!A60" tooltip="Ficha Técnica" display="FT"/>
    <hyperlink ref="N143" location="'2 FTSopas'!A178" tooltip="Ficha Técnica" display="FT"/>
    <hyperlink ref="N136" location="'2 FTSopas'!A232" tooltip="Ficha Técnica" display="FT"/>
    <hyperlink ref="N137" location="'1FT Prato'!A66" tooltip="Ficha Técnica" display="FT"/>
    <hyperlink ref="N144" location="'1FT Prato'!A323" tooltip="Ficha Técnica" display="FT"/>
    <hyperlink ref="N152" location="'1FT Prato'!A366" tooltip="Ficha Técnica" display="FT"/>
    <hyperlink ref="N166" location="'1 FTCarne'!A160" tooltip="Ficha Técnica" display="FT"/>
    <hyperlink ref="N151" location="'2 FTSopas'!A97" tooltip="Ficha Técnica" display="FT"/>
    <hyperlink ref="N158" location="'2 FTSopas'!A201" tooltip="Ficha Técnica" display="FT"/>
    <hyperlink ref="N165" location="'2 FTSopas'!A240" tooltip="Ficha Técnica" display="FT"/>
    <hyperlink ref="N172" location="'3 FTSopas'!A193" tooltip="Ficha Técnica" display="FT"/>
    <hyperlink ref="N179" location="'2 FTSopas'!A208" tooltip="Ficha Técnica" display="FT"/>
    <hyperlink ref="N174" location="'6 FTsaladas&amp;legumes'!A1" tooltip="Ficha Técnica" display="FT"/>
    <hyperlink ref="N180" location="'1FT Prato'!A255" tooltip="Ficha Técnica" display="FT"/>
    <hyperlink ref="N173" location="'2 FTPeixe'!A62" tooltip="Ficha Técnica" display="FT"/>
    <hyperlink ref="N175" location="'5 FTsobremesas'!A77" tooltip="Ficha Técnica" display="FT"/>
    <hyperlink ref="N195" location="'1FT Prato'!A351" tooltip="Ficha Técnica" display="FT"/>
    <hyperlink ref="N209" location="'1FT Prato'!A404" tooltip="Ficha Técnica" display="FT"/>
    <hyperlink ref="N188" location="'1FT Prato'!A346" tooltip="Ficha Técnica" display="FT"/>
    <hyperlink ref="N187" location="'2 FTSopas'!A36" tooltip="Ficha Técnica" display="FT"/>
    <hyperlink ref="N194" location="'2 FTSopas'!A9" tooltip="Ficha Técnica" display="FT"/>
    <hyperlink ref="N215" location="'2 FTSopas'!A260" tooltip="Ficha Técnica" display="FT"/>
    <hyperlink ref="N204" location="'4 FTsobremesas'!A14" tooltip="Ficha Técnica" display="FT"/>
    <hyperlink ref="N201" location="'2 FTSopas'!A193" tooltip="Ficha Técnica" display="FT"/>
    <hyperlink ref="N208" location="'2 FTSopas'!A17" tooltip="Ficha Técnica" display="FT"/>
    <hyperlink ref="N216" location="'2 FTPeixe'!A93" tooltip="Ficha Técnica" display="FT"/>
    <hyperlink ref="N202" location="'1FT Prato'!A386" tooltip="Ficha Técnica" display="FT"/>
    <hyperlink ref="N224" location="'1FT Prato'!A15" tooltip="Ficha Técnica" display="FT"/>
    <hyperlink ref="N223" location="'2 FTSopas'!A105" tooltip="Ficha Técnica" display="FT"/>
    <hyperlink ref="N238" location="'1FT Prato'!A328" tooltip="Ficha Técnica" display="FT"/>
    <hyperlink ref="N237" location="'2 FTSopas'!A137" tooltip="Ficha Técnica" display="FT"/>
    <hyperlink ref="N247" location="'4 FTsobremesas'!A20" tooltip="Ficha Técnica" display="FT"/>
    <hyperlink ref="N245" location="'1FT Prato'!A392" tooltip="Ficha Técnica" display="FT"/>
    <hyperlink ref="N244" location="'2 FTSopas'!A186" tooltip="Ficha Técnica" display="FT"/>
    <hyperlink ref="N231" location="'1FT Prato'!A9" tooltip="Ficha Técnica" display="FT"/>
    <hyperlink ref="N230" location="'2 FTSopas'!A224" tooltip="Ficha Técnica" display="FT"/>
    <hyperlink ref="N252" location="'1FT Prato'!A31" tooltip="Ficha Técnica" display="FT"/>
    <hyperlink ref="N251" location="'2 FTSopas'!A171" tooltip="Ficha Técnica" display="FT"/>
    <hyperlink ref="N262" location="'4 FTsobremesas'!A14" tooltip="Ficha Técnica" display="FT"/>
    <hyperlink ref="N273" location="'2 FTSopas'!A80" tooltip="Ficha Técnica" display="FT"/>
    <hyperlink ref="N288" location="'1FT Prato'!A128" tooltip="Ficha Técnica" display="FT"/>
    <hyperlink ref="N281" location="'1FT Prato'!A66" tooltip="Ficha Técnica" display="FT"/>
    <hyperlink ref="N280" location="'2 FTSopas'!A178" tooltip="Ficha Técnica" display="FT"/>
    <hyperlink ref="N267" location="'1FT Prato'!A47" tooltip="Ficha Técnica" display="FT"/>
    <hyperlink ref="N266" location="'2 FTSopas'!A270" tooltip="Ficha Técnica" display="FT"/>
    <hyperlink ref="N274" location="'1FT Prato'!A55" tooltip="Ficha Técnica" display="FT"/>
    <hyperlink ref="N260" location="'1FT Prato'!A39" tooltip="Ficha Técnica" display="FT"/>
    <hyperlink ref="N259" location="'2 FTSopas'!A112" tooltip="Ficha Técnica" display="FT"/>
    <hyperlink ref="N287" location="'2 FTSopas'!A89" tooltip="Ficha Técnica" display="FT"/>
    <hyperlink ref="N296" location="'1FT Prato'!A15" tooltip="Ficha Técnica" display="FT"/>
    <hyperlink ref="N324" location="'1FT Prato'!A96" tooltip="Ficha Técnica" display="FT"/>
    <hyperlink ref="N317" location="'1FT Prato'!A392" tooltip="Ficha Técnica" display="FT"/>
    <hyperlink ref="N295" location="'2 FTSopas'!A146" tooltip="Ficha Técnica" display="FT"/>
    <hyperlink ref="N302" location="'2 FTSopas'!A208" tooltip="Ficha Técnica" display="FT"/>
    <hyperlink ref="N309" location="'3 FTSopas'!A248" tooltip="Ficha Técnica" display="FT"/>
    <hyperlink ref="N316" location="'2 FTSopas'!A45" tooltip="Ficha Técnica" display="FT"/>
    <hyperlink ref="N312" location="'5 FTsobremesas'!A75" tooltip="Ficha Técnica" display="FT"/>
    <hyperlink ref="N303" location="'1FT Prato'!A77" tooltip="Ficha Técnica" display="FT"/>
    <hyperlink ref="N319" location="'4 FTsobremesas'!A20" display="FT"/>
    <hyperlink ref="N310" location="'1 FTCarne'!A132" tooltip="Ficha Técnica" display="FT"/>
    <hyperlink ref="N359" location="'2 FTSopas'!A312" tooltip="Ficha Técnica" display="FT"/>
    <hyperlink ref="N360" location="'1FT Prato'!A137" tooltip="Ficha Técnica" display="FT"/>
    <hyperlink ref="N352" location="'2 FTSopas'!A162" tooltip="Ficha Técnica" display="FT"/>
    <hyperlink ref="N419" location="'2 FTSopas'!A260" display="FT"/>
    <hyperlink ref="N406" location="'1FT Prato'!A245" display="FT"/>
    <hyperlink ref="N405" location="'2 FTSopas'!A26" display="FT"/>
    <hyperlink ref="N420" location="'1FT Prato'!A266" tooltip="Ficha Técnica" display="FT"/>
    <hyperlink ref="N412" location="'2 FTSopas'!A97" display="FT"/>
    <hyperlink ref="N413" location="'1FT Prato'!A229" display="FT"/>
    <hyperlink ref="N434" location="'1FT Prato'!A144" display="FT"/>
    <hyperlink ref="N433" location="'2 FTSopas'!A52" display="FT"/>
    <hyperlink ref="N426" location="'2 FTSopas'!A201" tooltip="Ficha Técnica" display="FT"/>
    <hyperlink ref="N429" location="'4 FTsobremesas'!A20" tooltip="Ficha Técnica" display="FT"/>
    <hyperlink ref="N427" location="'1FT Prato'!A66" tooltip="Ficha Técnica" display="FT"/>
    <hyperlink ref="N442" location="'1FT Prato'!A233" tooltip="Ficha Técnica" display="FT"/>
    <hyperlink ref="N441" location="'2 FTSopas'!A105" tooltip="Ficha Técnica" display="FT"/>
    <hyperlink ref="N448" location="'2 FTSopas'!A17" tooltip="Ficha Técnica" display="FT"/>
    <hyperlink ref="N449" location="'1FT Prato'!A239" tooltip="Ficha Técnica" display="FT"/>
    <hyperlink ref="N456" location="'1FT Prato'!A260" tooltip="Ficha Técnica" display="FT"/>
    <hyperlink ref="N455" location="'2 FTSopas'!A193" tooltip="Ficha Técnica" display="FT"/>
    <hyperlink ref="N469" location="'2 FTSopas'!A193" tooltip="Ficha Técnica" display="FT"/>
    <hyperlink ref="N462" location="'2 FTSopas'!A270" tooltip="Ficha Técnica" display="FT"/>
    <hyperlink ref="N463" location="'1FT Prato'!A255" tooltip="Ficha Técnica" display="FT"/>
    <hyperlink ref="N470" location="'2 FTPeixe'!A151" tooltip="Ficha Técnica" display="FT"/>
    <hyperlink ref="N478" location="'1FT Prato'!A266" tooltip="Ficha Técnica" display="FT"/>
    <hyperlink ref="N492" location="'1FT Prato'!A174" tooltip="Ficha Técnica" display="FT"/>
    <hyperlink ref="N477" location="'2 FTSopas'!A137" tooltip="Ficha Técnica" display="FT"/>
    <hyperlink ref="N484" location="'2 FTSopas'!A69" tooltip="Ficha Técnica" display="FT"/>
    <hyperlink ref="N491" location="'2 FTSopas'!A36" tooltip="Ficha Técnica" display="FT"/>
    <hyperlink ref="N485" location="'1FT Prato'!A193" display="FT"/>
    <hyperlink ref="N487" location="'4 FTsobremesas'!A20" tooltip="Ficha Técnica" display="FT"/>
    <hyperlink ref="N498" location="'2 FTSopas'!A279" tooltip="Ficha Técnica" display="FT"/>
    <hyperlink ref="N499" location="'1FT Prato'!A166" tooltip="Ficha Técnica" display="FT"/>
    <hyperlink ref="N505" location="'3 FTSopas'!A80" tooltip="Ficha Técnica" display="FT"/>
    <hyperlink ref="N506" location="'1 FTCarne'!A149" tooltip="Ficha Técnica" display="FT"/>
    <hyperlink ref="N161" location="'4 FTsobremesas'!A20" tooltip="Ficha Técnica" display="FT"/>
    <hyperlink ref="N159" location="'1FT Prato'!A328" tooltip="Ficha Técnica" display="FT"/>
    <hyperlink ref="N46" location="'4 FTsobremesas'!A24" tooltip="Ficha Técnica" display="FT"/>
    <hyperlink ref="N43:N45" location="'3 FTSopas'!A33" tooltip="Ficha Técnica" display="FT"/>
    <hyperlink ref="N332" location="'1FT Prato'!A224" tooltip="Ficha Técnica" display="FT"/>
    <hyperlink ref="N331" location="'2 FTSopas'!A304" display="FT"/>
    <hyperlink ref="N339" location="'1FT Prato'!A218" tooltip="Ficha Técnica" display="FT"/>
    <hyperlink ref="N338" location="'2 FTSopas'!A178" display="FT"/>
    <hyperlink ref="N346" location="'1FT Prato'!A108" tooltip="Ficha Técnica" display="FT"/>
    <hyperlink ref="N348" location="'4 FTsobremesas'!A14" tooltip="Ficha Técnica" display="FT"/>
    <hyperlink ref="N345" location="'2 FTSopas'!A60" display="FT"/>
    <hyperlink ref="N44" location="'1FT Prato'!A293" tooltip="Ficha Técnica" display="FT"/>
    <hyperlink ref="N43" location="'2 FTSopas'!A352" tooltip="Ficha Técnica" display="FT"/>
    <hyperlink ref="N323" location="'2 FTSopas'!A26" display="FT"/>
    <hyperlink ref="N45" location="'5 FTsaladas&amp;legumes'!A9" tooltip="Ficha Técnica" display="FT"/>
    <hyperlink ref="N311" location="'6 FTsaladas&amp;legumes'!A1" tooltip="Ficha Técnica" display="FT"/>
    <hyperlink ref="N507" location="'6 FTsaladas&amp;legumes'!A1" tooltip="Ficha Técnica" display="FT"/>
    <hyperlink ref="N60" location="'4 FTsobremesas'!A24" tooltip="Ficha Técnica" display="FT"/>
    <hyperlink ref="N67" location="'4 FTsobremesas'!A24" tooltip="Ficha Técnica" display="FT"/>
    <hyperlink ref="N82" location="'4 FTsobremesas'!A24" tooltip="Ficha Técnica" display="FT"/>
    <hyperlink ref="N96" location="'4 FTsobremesas'!A24" tooltip="Ficha Técnica" display="FT"/>
    <hyperlink ref="N110" location="'4 FTsobremesas'!A24" tooltip="Ficha Técnica" display="FT"/>
    <hyperlink ref="N125" location="'4 FTsobremesas'!A24" tooltip="Ficha Técnica" display="FT"/>
    <hyperlink ref="N139" location="'4 FTsobremesas'!A24" tooltip="Ficha Técnica" display="FT"/>
    <hyperlink ref="N146" location="'4 FTsobremesas'!A24" tooltip="Ficha Técnica" display="FT"/>
    <hyperlink ref="N154" location="'4 FTsobremesas'!A24" tooltip="Ficha Técnica" display="FT"/>
    <hyperlink ref="N168" location="'4 FTsobremesas'!A24" tooltip="Ficha Técnica" display="FT"/>
    <hyperlink ref="N444" location="'4 FTsobremesas'!A14" tooltip="Ficha Técnica" display="FT"/>
    <hyperlink ref="N508" location="'5 FTsobremesas'!A54" tooltip="Ficha Técnica" display="FT"/>
    <hyperlink ref="N524" location="'4 FTsobremesas'!A20" tooltip="Ficha Técnica" display="FT"/>
    <hyperlink ref="N545" location="'5 FTsobremesas'!A10" tooltip="Ficha Técnica" display="FT"/>
    <hyperlink ref="N528" location="'2 FTSopas'!A137" tooltip="Ficha Técnica" display="FT"/>
    <hyperlink ref="N543" location="'2 FTPeixe'!A52" tooltip="Ficha Técnica" display="FT"/>
    <hyperlink ref="N544" location="'6 FTsaladas&amp;legumes'!A1" tooltip="Ficha Técnica" display="FT"/>
    <hyperlink ref="N536" location="'1FT Prato'!A398" tooltip="Ficha Técnica" display="FT"/>
    <hyperlink ref="N535" location="'2 FTSopas'!A368" tooltip="Ficha Técnica" display="FT"/>
    <hyperlink ref="N522" location="'1FT Prato'!A266" tooltip="Ficha Técnica" display="FT"/>
    <hyperlink ref="N521" location="'2 FTSopas'!A193" tooltip="Ficha Técnica" display="FT"/>
    <hyperlink ref="N529" location="'1FT Prato'!A328" tooltip="Ficha Técnica" display="FT"/>
    <hyperlink ref="N515" location="'1FT Prato'!A299" tooltip="Ficha Técnica" display="FT"/>
    <hyperlink ref="N514" location="'2 FTSopas'!A319" tooltip="Ficha Técnica" display="FT"/>
    <hyperlink ref="N542" location="'3 FTSopas'!A60" tooltip="Ficha Técnica" display="FT"/>
    <hyperlink ref="N567" location="'4 FTsobremesas'!A14" tooltip="Ficha Técnica" display="FT"/>
    <hyperlink ref="N564" location="'2 FTSopas'!A336" tooltip="Ficha Técnica" display="FT"/>
    <hyperlink ref="N579" location="'1FT Prato'!A128" tooltip="Ficha Técnica" display="FT"/>
    <hyperlink ref="N572" location="'1FT Prato'!A66" tooltip="Ficha Técnica" display="FT"/>
    <hyperlink ref="N571" location="'2 FTSopas'!A344" tooltip="Ficha Técnica" display="FT"/>
    <hyperlink ref="N558" location="'1FT Prato'!A287" tooltip="Ficha Técnica" display="FT"/>
    <hyperlink ref="N557" location="'2 FTSopas'!A329" tooltip="Ficha Técnica" display="FT"/>
    <hyperlink ref="N565" location="'1FT Prato'!A15" tooltip="Ficha Técnica" display="FT"/>
    <hyperlink ref="N551" location="'1FT Prato'!A366" tooltip="Ficha Técnica" display="FT"/>
    <hyperlink ref="N550" location="'2 FTSopas'!A97" tooltip="Ficha Técnica" display="FT"/>
    <hyperlink ref="N578" location="'2 FTSopas'!A89" tooltip="Ficha Técnica" display="FT"/>
    <hyperlink ref="N182" location="'4 FTsobremesas'!A24" tooltip="Ficha Técnica" display="FT"/>
    <hyperlink ref="N190" location="'4 FTsobremesas'!A24" tooltip="Ficha Técnica" display="FT"/>
    <hyperlink ref="N197" location="'4 FTsobremesas'!A24" tooltip="Ficha Técnica" display="FT"/>
    <hyperlink ref="N211" location="'4 FTsobremesas'!A24" tooltip="Ficha Técnica" display="FT"/>
    <hyperlink ref="N218" location="'4 FTsobremesas'!A24" tooltip="Ficha Técnica" display="FT"/>
    <hyperlink ref="N226" location="'4 FTsobremesas'!A24" tooltip="Ficha Técnica" display="FT"/>
    <hyperlink ref="N233" location="'4 FTsobremesas'!A24" tooltip="Ficha Técnica" display="FT"/>
    <hyperlink ref="N240" location="'4 FTsobremesas'!A24" tooltip="Ficha Técnica" display="FT"/>
    <hyperlink ref="N254" location="'4 FTsobremesas'!A24" tooltip="Ficha Técnica" display="FT"/>
    <hyperlink ref="N269" location="'4 FTsobremesas'!A24" tooltip="Ficha Técnica" display="FT"/>
    <hyperlink ref="N276" location="'4 FTsobremesas'!A24" tooltip="Ficha Técnica" display="FT"/>
    <hyperlink ref="N283" location="'4 FTsobremesas'!A24" tooltip="Ficha Técnica" display="FT"/>
    <hyperlink ref="N290" location="'4 FTsobremesas'!A24" tooltip="Ficha Técnica" display="FT"/>
    <hyperlink ref="N298" location="'4 FTsobremesas'!A24" tooltip="Ficha Técnica" display="FT"/>
    <hyperlink ref="N305" location="'4 FTsobremesas'!A24" tooltip="Ficha Técnica" display="FT"/>
    <hyperlink ref="N326" location="'4 FTsobremesas'!A24" tooltip="Ficha Técnica" display="FT"/>
    <hyperlink ref="N334" location="'4 FTsobremesas'!A24" tooltip="Ficha Técnica" display="FT"/>
    <hyperlink ref="N341" location="'4 FTsobremesas'!A24" tooltip="Ficha Técnica" display="FT"/>
    <hyperlink ref="N355" location="'4 FTsobremesas'!A24" tooltip="Ficha Técnica" display="FT"/>
    <hyperlink ref="N362" location="'4 FTsobremesas'!A24" tooltip="Ficha Técnica" display="FT"/>
    <hyperlink ref="N408" location="'4 FTsobremesas'!A24" tooltip="Ficha Técnica" display="FT"/>
    <hyperlink ref="N415" location="'4 FTsobremesas'!A24" tooltip="Ficha Técnica" display="FT"/>
    <hyperlink ref="N422" location="'4 FTsobremesas'!A24" tooltip="Ficha Técnica" display="FT"/>
    <hyperlink ref="N436" location="'4 FTsobremesas'!A24" tooltip="Ficha Técnica" display="FT"/>
    <hyperlink ref="N451" location="'4 FTsobremesas'!A24" tooltip="Ficha Técnica" display="FT"/>
    <hyperlink ref="N458" location="'4 FTsobremesas'!A24" tooltip="Ficha Técnica" display="FT"/>
    <hyperlink ref="N465" location="'4 FTsobremesas'!A24" tooltip="Ficha Técnica" display="FT"/>
    <hyperlink ref="N472" location="'4 FTsobremesas'!A24" tooltip="Ficha Técnica" display="FT"/>
    <hyperlink ref="N480" location="'4 FTsobremesas'!A24" tooltip="Ficha Técnica" display="FT"/>
    <hyperlink ref="N494" location="'4 FTsobremesas'!A24" tooltip="Ficha Técnica" display="FT"/>
    <hyperlink ref="N501" location="'4 FTsobremesas'!A24" tooltip="Ficha Técnica" display="FT"/>
    <hyperlink ref="N517" location="'4 FTsobremesas'!A24" tooltip="Ficha Técnica" display="FT"/>
    <hyperlink ref="N531" location="'4 FTsobremesas'!A24" tooltip="Ficha Técnica" display="FT"/>
    <hyperlink ref="N538" location="'4 FTsobremesas'!A24" tooltip="Ficha Técnica" display="FT"/>
    <hyperlink ref="N553" location="'4 FTsobremesas'!A24" tooltip="Ficha Técnica" display="FT"/>
    <hyperlink ref="N560" location="'4 FTsobremesas'!A24" tooltip="Ficha Técnica" display="FT"/>
    <hyperlink ref="N574" location="'4 FTsobremesas'!A24" tooltip="Ficha Técnica" display="FT"/>
    <hyperlink ref="N581" location="'4 FTsobremesas'!A24" tooltip="Ficha Técnica" display="FT"/>
    <hyperlink ref="N52" location="'5 FTsaladas&amp;legumes'!A9" tooltip="Ficha Técnica" display="FT"/>
    <hyperlink ref="N59" location="'5 FTsaladas&amp;legumes'!A9" tooltip="Ficha Técnica" display="FT"/>
    <hyperlink ref="N66" location="'5 FTsaladas&amp;legumes'!A9" tooltip="Ficha Técnica" display="FT"/>
    <hyperlink ref="N73" location="'5 FTsaladas&amp;legumes'!A9" tooltip="Ficha Técnica" display="FT"/>
    <hyperlink ref="N81" location="'5 FTsaladas&amp;legumes'!A9" tooltip="Ficha Técnica" display="FT"/>
    <hyperlink ref="N88" location="'5 FTsaladas&amp;legumes'!A9" tooltip="Ficha Técnica" display="FT"/>
    <hyperlink ref="N95" location="'5 FTsaladas&amp;legumes'!A9" tooltip="Ficha Técnica" display="FT"/>
    <hyperlink ref="N102" location="'5 FTsaladas&amp;legumes'!A9" tooltip="Ficha Técnica" display="FT"/>
    <hyperlink ref="N109" location="'5 FTsaladas&amp;legumes'!A9" tooltip="Ficha Técnica" display="FT"/>
    <hyperlink ref="N117" location="'5 FTsaladas&amp;legumes'!A9" tooltip="Ficha Técnica" display="FT"/>
    <hyperlink ref="N124" location="'5 FTsaladas&amp;legumes'!A9" tooltip="Ficha Técnica" display="FT"/>
    <hyperlink ref="N131" location="'5 FTsaladas&amp;legumes'!A9" tooltip="Ficha Técnica" display="FT"/>
    <hyperlink ref="N138" location="'5 FTsaladas&amp;legumes'!A9" tooltip="Ficha Técnica" display="FT"/>
    <hyperlink ref="N145" location="'5 FTsaladas&amp;legumes'!A9" tooltip="Ficha Técnica" display="FT"/>
    <hyperlink ref="N153" location="'5 FTsaladas&amp;legumes'!A9" tooltip="Ficha Técnica" display="FT"/>
    <hyperlink ref="N160" location="'5 FTsaladas&amp;legumes'!A9" tooltip="Ficha Técnica" display="FT"/>
    <hyperlink ref="N167" location="'5 FTsaladas&amp;legumes'!A9" tooltip="Ficha Técnica" display="FT"/>
    <hyperlink ref="N181" location="'5 FTsaladas&amp;legumes'!A9" tooltip="Ficha Técnica" display="FT"/>
    <hyperlink ref="N189" location="'5 FTsaladas&amp;legumes'!A9" tooltip="Ficha Técnica" display="FT"/>
    <hyperlink ref="N196" location="'5 FTsaladas&amp;legumes'!A9" tooltip="Ficha Técnica" display="FT"/>
    <hyperlink ref="N203" location="'5 FTsaladas&amp;legumes'!A9" tooltip="Ficha Técnica" display="FT"/>
    <hyperlink ref="N210" location="'5 FTsaladas&amp;legumes'!A9" tooltip="Ficha Técnica" display="FT"/>
    <hyperlink ref="N217" location="'5 FTsaladas&amp;legumes'!A9" tooltip="Ficha Técnica" display="FT"/>
    <hyperlink ref="N225" location="'5 FTsaladas&amp;legumes'!A9" tooltip="Ficha Técnica" display="FT"/>
    <hyperlink ref="N232" location="'5 FTsaladas&amp;legumes'!A9" tooltip="Ficha Técnica" display="FT"/>
    <hyperlink ref="N239" location="'5 FTsaladas&amp;legumes'!A9" tooltip="Ficha Técnica" display="FT"/>
    <hyperlink ref="N246" location="'5 FTsaladas&amp;legumes'!A9" tooltip="Ficha Técnica" display="FT"/>
    <hyperlink ref="N253" location="'5 FTsaladas&amp;legumes'!A9" tooltip="Ficha Técnica" display="FT"/>
    <hyperlink ref="N261" location="'5 FTsaladas&amp;legumes'!A9" tooltip="Ficha Técnica" display="FT"/>
    <hyperlink ref="N268" location="'5 FTsaladas&amp;legumes'!A9" tooltip="Ficha Técnica" display="FT"/>
    <hyperlink ref="N275" location="'5 FTsaladas&amp;legumes'!A9" tooltip="Ficha Técnica" display="FT"/>
    <hyperlink ref="N282" location="'5 FTsaladas&amp;legumes'!A9" tooltip="Ficha Técnica" display="FT"/>
    <hyperlink ref="N289" location="'5 FTsaladas&amp;legumes'!A9" tooltip="Ficha Técnica" display="FT"/>
    <hyperlink ref="N297" location="'5 FTsaladas&amp;legumes'!A9" tooltip="Ficha Técnica" display="FT"/>
    <hyperlink ref="N304" location="'5 FTsaladas&amp;legumes'!A9" tooltip="Ficha Técnica" display="FT"/>
    <hyperlink ref="N318" location="'5 FTsaladas&amp;legumes'!A9" tooltip="Ficha Técnica" display="FT"/>
    <hyperlink ref="N325" location="'5 FTsaladas&amp;legumes'!A9" tooltip="Ficha Técnica" display="FT"/>
    <hyperlink ref="N333" location="'5 FTsaladas&amp;legumes'!A9" tooltip="Ficha Técnica" display="FT"/>
    <hyperlink ref="N340" location="'5 FTsaladas&amp;legumes'!A9" tooltip="Ficha Técnica" display="FT"/>
    <hyperlink ref="N347" location="'5 FTsaladas&amp;legumes'!A9" tooltip="Ficha Técnica" display="FT"/>
    <hyperlink ref="N354" location="'5 FTsaladas&amp;legumes'!A9" tooltip="Ficha Técnica" display="FT"/>
    <hyperlink ref="N361" location="'5 FTsaladas&amp;legumes'!A9" tooltip="Ficha Técnica" display="FT"/>
    <hyperlink ref="N407" location="'5 FTsaladas&amp;legumes'!A9" tooltip="Ficha Técnica" display="FT"/>
    <hyperlink ref="N414" location="'5 FTsaladas&amp;legumes'!A9" tooltip="Ficha Técnica" display="FT"/>
    <hyperlink ref="N421" location="'5 FTsaladas&amp;legumes'!A9" tooltip="Ficha Técnica" display="FT"/>
    <hyperlink ref="N428" location="'5 FTsaladas&amp;legumes'!A9" tooltip="Ficha Técnica" display="FT"/>
    <hyperlink ref="N435" location="'5 FTsaladas&amp;legumes'!A9" tooltip="Ficha Técnica" display="FT"/>
    <hyperlink ref="N443" location="'5 FTsaladas&amp;legumes'!A9" tooltip="Ficha Técnica" display="FT"/>
    <hyperlink ref="N450" location="'5 FTsaladas&amp;legumes'!A9" tooltip="Ficha Técnica" display="FT"/>
    <hyperlink ref="N457" location="'5 FTsaladas&amp;legumes'!A9" tooltip="Ficha Técnica" display="FT"/>
    <hyperlink ref="N464" location="'5 FTsaladas&amp;legumes'!A9" tooltip="Ficha Técnica" display="FT"/>
    <hyperlink ref="N471" location="'5 FTsaladas&amp;legumes'!A9" tooltip="Ficha Técnica" display="FT"/>
    <hyperlink ref="N479" location="'5 FTsaladas&amp;legumes'!A9" tooltip="Ficha Técnica" display="FT"/>
    <hyperlink ref="N486" location="'5 FTsaladas&amp;legumes'!A9" tooltip="Ficha Técnica" display="FT"/>
    <hyperlink ref="N493" location="'5 FTsaladas&amp;legumes'!A9" tooltip="Ficha Técnica" display="FT"/>
    <hyperlink ref="N500" location="'5 FTsaladas&amp;legumes'!A9" tooltip="Ficha Técnica" display="FT"/>
    <hyperlink ref="N516" location="'5 FTsaladas&amp;legumes'!A9" tooltip="Ficha Técnica" display="FT"/>
    <hyperlink ref="N523" location="'5 FTsaladas&amp;legumes'!A9" tooltip="Ficha Técnica" display="FT"/>
    <hyperlink ref="N530" location="'5 FTsaladas&amp;legumes'!A9" tooltip="Ficha Técnica" display="FT"/>
    <hyperlink ref="N537" location="'5 FTsaladas&amp;legumes'!A9" tooltip="Ficha Técnica" display="FT"/>
    <hyperlink ref="N552" location="'5 FTsaladas&amp;legumes'!A9" tooltip="Ficha Técnica" display="FT"/>
    <hyperlink ref="N559" location="'5 FTsaladas&amp;legumes'!A9" tooltip="Ficha Técnica" display="FT"/>
    <hyperlink ref="N566" location="'5 FTsaladas&amp;legumes'!A9" tooltip="Ficha Técnica" display="FT"/>
    <hyperlink ref="N573" location="'5 FTsaladas&amp;legumes'!A9" tooltip="Ficha Técnica" display="FT"/>
    <hyperlink ref="N580" location="'5 FTsaladas&amp;legumes'!A9" tooltip="Ficha Técnica" display="FT"/>
    <hyperlink ref="N132" location="'4 FTsobremesas'!A24" tooltip="Ficha Técnica" display="FT"/>
  </hyperlinks>
  <printOptions horizontalCentered="1" verticalCentered="1"/>
  <pageMargins left="0.74803149606299213" right="0.74803149606299213" top="0.19685039370078741" bottom="0" header="0" footer="0"/>
  <pageSetup paperSize="9" scale="55" orientation="portrait" r:id="rId1"/>
  <headerFooter alignWithMargins="0"/>
  <rowBreaks count="13" manualBreakCount="13">
    <brk id="76" max="12" man="1"/>
    <brk id="112" max="12" man="1"/>
    <brk id="148" max="12" man="1"/>
    <brk id="184" max="12" man="1"/>
    <brk id="220" max="12" man="1"/>
    <brk id="256" max="12" man="1"/>
    <brk id="292" max="12" man="1"/>
    <brk id="328" max="12" man="1"/>
    <brk id="398" max="12" man="1"/>
    <brk id="438" max="12" man="1"/>
    <brk id="474" max="12" man="1"/>
    <brk id="510" max="12" man="1"/>
    <brk id="547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6:E412"/>
  <sheetViews>
    <sheetView showGridLines="0" topLeftCell="A356" workbookViewId="0">
      <selection activeCell="A366" sqref="A366"/>
    </sheetView>
  </sheetViews>
  <sheetFormatPr defaultRowHeight="12.75"/>
  <cols>
    <col min="1" max="1" width="13.85546875" customWidth="1"/>
    <col min="2" max="2" width="50.85546875" customWidth="1"/>
    <col min="3" max="3" width="24.85546875" customWidth="1"/>
    <col min="4" max="4" width="29.28515625" customWidth="1"/>
    <col min="5" max="5" width="68" customWidth="1"/>
  </cols>
  <sheetData>
    <row r="6" spans="1:5" ht="18">
      <c r="A6" s="175" t="s">
        <v>468</v>
      </c>
      <c r="B6" s="175"/>
      <c r="C6" s="175"/>
      <c r="D6" s="175"/>
      <c r="E6" s="175"/>
    </row>
    <row r="7" spans="1:5" ht="13.5" thickBot="1"/>
    <row r="8" spans="1:5" ht="15.75" thickTop="1" thickBot="1">
      <c r="A8" s="55" t="s">
        <v>45</v>
      </c>
      <c r="B8" s="55" t="s">
        <v>46</v>
      </c>
      <c r="C8" s="55" t="s">
        <v>43</v>
      </c>
      <c r="D8" s="55" t="s">
        <v>44</v>
      </c>
      <c r="E8" s="55" t="s">
        <v>47</v>
      </c>
    </row>
    <row r="9" spans="1:5" ht="30.75" thickTop="1">
      <c r="A9" s="91" t="s">
        <v>469</v>
      </c>
      <c r="B9" s="91" t="s">
        <v>486</v>
      </c>
      <c r="C9" s="118" t="s">
        <v>487</v>
      </c>
      <c r="D9" s="118" t="s">
        <v>498</v>
      </c>
      <c r="E9" s="176" t="s">
        <v>493</v>
      </c>
    </row>
    <row r="10" spans="1:5" ht="30">
      <c r="A10" s="92"/>
      <c r="B10" s="92"/>
      <c r="C10" s="90" t="s">
        <v>488</v>
      </c>
      <c r="D10" s="119" t="s">
        <v>494</v>
      </c>
      <c r="E10" s="177"/>
    </row>
    <row r="11" spans="1:5" ht="15">
      <c r="A11" s="92"/>
      <c r="B11" s="93"/>
      <c r="C11" s="119" t="s">
        <v>492</v>
      </c>
      <c r="D11" s="119" t="s">
        <v>495</v>
      </c>
      <c r="E11" s="177"/>
    </row>
    <row r="12" spans="1:5" ht="15">
      <c r="A12" s="92"/>
      <c r="B12" s="93"/>
      <c r="C12" s="119" t="s">
        <v>489</v>
      </c>
      <c r="D12" s="119" t="s">
        <v>496</v>
      </c>
      <c r="E12" s="177"/>
    </row>
    <row r="13" spans="1:5" ht="15">
      <c r="A13" s="92"/>
      <c r="B13" s="93"/>
      <c r="C13" s="119" t="s">
        <v>490</v>
      </c>
      <c r="D13" s="119" t="s">
        <v>497</v>
      </c>
      <c r="E13" s="177"/>
    </row>
    <row r="14" spans="1:5" ht="15.75" thickBot="1">
      <c r="A14" s="92"/>
      <c r="B14" s="93"/>
      <c r="C14" s="119" t="s">
        <v>491</v>
      </c>
      <c r="D14" s="119" t="s">
        <v>497</v>
      </c>
      <c r="E14" s="177"/>
    </row>
    <row r="15" spans="1:5" ht="15.75" thickTop="1">
      <c r="A15" s="120" t="s">
        <v>470</v>
      </c>
      <c r="B15" s="120" t="s">
        <v>499</v>
      </c>
      <c r="C15" s="122" t="s">
        <v>500</v>
      </c>
      <c r="D15" s="122" t="s">
        <v>507</v>
      </c>
      <c r="E15" s="178" t="s">
        <v>510</v>
      </c>
    </row>
    <row r="16" spans="1:5" ht="15">
      <c r="A16" s="57"/>
      <c r="B16" s="57"/>
      <c r="C16" s="123" t="s">
        <v>501</v>
      </c>
      <c r="D16" s="123" t="s">
        <v>508</v>
      </c>
      <c r="E16" s="179"/>
    </row>
    <row r="17" spans="1:5" ht="15">
      <c r="A17" s="57"/>
      <c r="B17" s="57"/>
      <c r="C17" s="123" t="s">
        <v>502</v>
      </c>
      <c r="D17" s="123" t="s">
        <v>506</v>
      </c>
      <c r="E17" s="179"/>
    </row>
    <row r="18" spans="1:5" ht="15">
      <c r="A18" s="57"/>
      <c r="B18" s="52"/>
      <c r="C18" s="123" t="s">
        <v>503</v>
      </c>
      <c r="D18" s="123" t="s">
        <v>509</v>
      </c>
      <c r="E18" s="179"/>
    </row>
    <row r="19" spans="1:5" ht="15">
      <c r="A19" s="57"/>
      <c r="B19" s="52"/>
      <c r="C19" s="123" t="s">
        <v>504</v>
      </c>
      <c r="D19" s="123" t="s">
        <v>497</v>
      </c>
      <c r="E19" s="179"/>
    </row>
    <row r="20" spans="1:5" ht="15.75" thickBot="1">
      <c r="A20" s="57"/>
      <c r="B20" s="52"/>
      <c r="C20" s="123" t="s">
        <v>505</v>
      </c>
      <c r="D20" s="123" t="s">
        <v>506</v>
      </c>
      <c r="E20" s="180"/>
    </row>
    <row r="21" spans="1:5" ht="15.75" thickTop="1">
      <c r="A21" s="91" t="s">
        <v>471</v>
      </c>
      <c r="B21" s="91" t="s">
        <v>511</v>
      </c>
      <c r="C21" s="118" t="s">
        <v>513</v>
      </c>
      <c r="D21" s="118" t="s">
        <v>516</v>
      </c>
      <c r="E21" s="176" t="s">
        <v>512</v>
      </c>
    </row>
    <row r="22" spans="1:5" ht="15">
      <c r="A22" s="92"/>
      <c r="B22" s="92"/>
      <c r="C22" s="119" t="s">
        <v>492</v>
      </c>
      <c r="D22" s="119" t="s">
        <v>495</v>
      </c>
      <c r="E22" s="177"/>
    </row>
    <row r="23" spans="1:5" ht="15">
      <c r="A23" s="92"/>
      <c r="B23" s="92"/>
      <c r="C23" s="119" t="s">
        <v>500</v>
      </c>
      <c r="D23" s="119" t="s">
        <v>517</v>
      </c>
      <c r="E23" s="177"/>
    </row>
    <row r="24" spans="1:5" ht="15">
      <c r="A24" s="92"/>
      <c r="B24" s="119"/>
      <c r="C24" s="119" t="s">
        <v>514</v>
      </c>
      <c r="D24" s="119" t="s">
        <v>517</v>
      </c>
      <c r="E24" s="177"/>
    </row>
    <row r="25" spans="1:5" ht="15">
      <c r="A25" s="92"/>
      <c r="B25" s="93"/>
      <c r="C25" s="119" t="s">
        <v>502</v>
      </c>
      <c r="D25" s="119" t="s">
        <v>506</v>
      </c>
      <c r="E25" s="177"/>
    </row>
    <row r="26" spans="1:5" ht="15">
      <c r="A26" s="92"/>
      <c r="B26" s="93"/>
      <c r="C26" s="119" t="s">
        <v>503</v>
      </c>
      <c r="D26" s="119" t="s">
        <v>509</v>
      </c>
      <c r="E26" s="177"/>
    </row>
    <row r="27" spans="1:5" ht="15">
      <c r="A27" s="92"/>
      <c r="B27" s="93"/>
      <c r="C27" s="119" t="s">
        <v>515</v>
      </c>
      <c r="D27" s="119" t="s">
        <v>518</v>
      </c>
      <c r="E27" s="177"/>
    </row>
    <row r="28" spans="1:5" ht="15">
      <c r="A28" s="92"/>
      <c r="B28" s="93"/>
      <c r="C28" s="119"/>
      <c r="D28" s="119"/>
      <c r="E28" s="177"/>
    </row>
    <row r="29" spans="1:5" ht="15">
      <c r="A29" s="92"/>
      <c r="B29" s="93"/>
      <c r="C29" s="119"/>
      <c r="D29" s="119"/>
      <c r="E29" s="177"/>
    </row>
    <row r="30" spans="1:5" ht="15.75" thickBot="1">
      <c r="A30" s="92"/>
      <c r="B30" s="93"/>
      <c r="C30" s="119"/>
      <c r="D30" s="119"/>
      <c r="E30" s="181"/>
    </row>
    <row r="31" spans="1:5" ht="15.75" thickTop="1">
      <c r="A31" s="120" t="s">
        <v>519</v>
      </c>
      <c r="B31" s="182" t="s">
        <v>413</v>
      </c>
      <c r="C31" s="122" t="s">
        <v>489</v>
      </c>
      <c r="D31" s="122" t="s">
        <v>496</v>
      </c>
      <c r="E31" s="178" t="s">
        <v>522</v>
      </c>
    </row>
    <row r="32" spans="1:5" ht="15">
      <c r="A32" s="57"/>
      <c r="B32" s="183"/>
      <c r="C32" s="123" t="s">
        <v>166</v>
      </c>
      <c r="D32" s="123" t="s">
        <v>495</v>
      </c>
      <c r="E32" s="179"/>
    </row>
    <row r="33" spans="1:5" ht="15">
      <c r="A33" s="57"/>
      <c r="B33" s="121"/>
      <c r="C33" s="123" t="s">
        <v>500</v>
      </c>
      <c r="D33" s="123" t="s">
        <v>517</v>
      </c>
      <c r="E33" s="179"/>
    </row>
    <row r="34" spans="1:5" ht="15">
      <c r="A34" s="57"/>
      <c r="B34" s="57"/>
      <c r="C34" s="123" t="s">
        <v>520</v>
      </c>
      <c r="D34" s="123" t="s">
        <v>517</v>
      </c>
      <c r="E34" s="179"/>
    </row>
    <row r="35" spans="1:5" ht="15">
      <c r="A35" s="57"/>
      <c r="B35" s="52"/>
      <c r="C35" s="123" t="s">
        <v>502</v>
      </c>
      <c r="D35" s="123" t="s">
        <v>506</v>
      </c>
      <c r="E35" s="179"/>
    </row>
    <row r="36" spans="1:5" ht="15">
      <c r="A36" s="57"/>
      <c r="B36" s="52"/>
      <c r="C36" s="123" t="s">
        <v>165</v>
      </c>
      <c r="D36" s="123" t="s">
        <v>509</v>
      </c>
      <c r="E36" s="179"/>
    </row>
    <row r="37" spans="1:5" ht="15">
      <c r="A37" s="57"/>
      <c r="B37" s="52"/>
      <c r="C37" s="123" t="s">
        <v>521</v>
      </c>
      <c r="D37" s="123" t="s">
        <v>496</v>
      </c>
      <c r="E37" s="179"/>
    </row>
    <row r="38" spans="1:5" ht="15.75" thickBot="1">
      <c r="A38" s="57"/>
      <c r="B38" s="52"/>
      <c r="C38" s="123" t="s">
        <v>491</v>
      </c>
      <c r="D38" s="123" t="s">
        <v>497</v>
      </c>
      <c r="E38" s="180"/>
    </row>
    <row r="39" spans="1:5" ht="60.75" thickTop="1">
      <c r="A39" s="91" t="s">
        <v>523</v>
      </c>
      <c r="B39" s="91" t="s">
        <v>524</v>
      </c>
      <c r="C39" s="118" t="s">
        <v>525</v>
      </c>
      <c r="D39" s="118" t="s">
        <v>192</v>
      </c>
      <c r="E39" s="94" t="s">
        <v>527</v>
      </c>
    </row>
    <row r="40" spans="1:5" ht="15">
      <c r="A40" s="119"/>
      <c r="B40" s="119"/>
      <c r="C40" s="119" t="s">
        <v>492</v>
      </c>
      <c r="D40" s="119" t="s">
        <v>695</v>
      </c>
      <c r="E40" s="95"/>
    </row>
    <row r="41" spans="1:5" ht="15">
      <c r="A41" s="119"/>
      <c r="B41" s="119"/>
      <c r="C41" s="119" t="s">
        <v>164</v>
      </c>
      <c r="D41" s="119" t="s">
        <v>180</v>
      </c>
      <c r="E41" s="95"/>
    </row>
    <row r="42" spans="1:5" ht="15">
      <c r="A42" s="119"/>
      <c r="B42" s="119"/>
      <c r="C42" s="119" t="s">
        <v>520</v>
      </c>
      <c r="D42" s="119" t="s">
        <v>180</v>
      </c>
      <c r="E42" s="95"/>
    </row>
    <row r="43" spans="1:5" ht="15">
      <c r="A43" s="119"/>
      <c r="B43" s="119"/>
      <c r="C43" s="119" t="s">
        <v>502</v>
      </c>
      <c r="D43" s="119" t="s">
        <v>506</v>
      </c>
      <c r="E43" s="95"/>
    </row>
    <row r="44" spans="1:5" ht="15">
      <c r="A44" s="119"/>
      <c r="B44" s="119"/>
      <c r="C44" s="119" t="s">
        <v>503</v>
      </c>
      <c r="D44" s="119" t="s">
        <v>172</v>
      </c>
      <c r="E44" s="95"/>
    </row>
    <row r="45" spans="1:5" ht="15">
      <c r="A45" s="119"/>
      <c r="B45" s="119"/>
      <c r="C45" s="119" t="s">
        <v>526</v>
      </c>
      <c r="D45" s="119" t="s">
        <v>193</v>
      </c>
      <c r="E45" s="95"/>
    </row>
    <row r="46" spans="1:5" ht="15.75" thickBot="1">
      <c r="A46" s="119"/>
      <c r="B46" s="119"/>
      <c r="C46" s="119" t="s">
        <v>491</v>
      </c>
      <c r="D46" s="119" t="s">
        <v>178</v>
      </c>
      <c r="E46" s="95"/>
    </row>
    <row r="47" spans="1:5" ht="60.75" thickTop="1">
      <c r="A47" s="120" t="s">
        <v>528</v>
      </c>
      <c r="B47" s="84" t="s">
        <v>415</v>
      </c>
      <c r="C47" s="122" t="s">
        <v>489</v>
      </c>
      <c r="D47" s="122" t="s">
        <v>177</v>
      </c>
      <c r="E47" s="83" t="s">
        <v>529</v>
      </c>
    </row>
    <row r="48" spans="1:5" ht="15">
      <c r="A48" s="57"/>
      <c r="B48" s="85"/>
      <c r="C48" s="123" t="s">
        <v>492</v>
      </c>
      <c r="D48" s="123" t="s">
        <v>695</v>
      </c>
      <c r="E48" s="82"/>
    </row>
    <row r="49" spans="1:5" ht="15">
      <c r="A49" s="57"/>
      <c r="B49" s="85"/>
      <c r="C49" s="123" t="s">
        <v>176</v>
      </c>
      <c r="D49" s="123" t="s">
        <v>178</v>
      </c>
      <c r="E49" s="82"/>
    </row>
    <row r="50" spans="1:5" ht="15">
      <c r="A50" s="57"/>
      <c r="B50" s="85"/>
      <c r="C50" s="123" t="s">
        <v>500</v>
      </c>
      <c r="D50" s="123" t="s">
        <v>180</v>
      </c>
      <c r="E50" s="82"/>
    </row>
    <row r="51" spans="1:5" ht="15">
      <c r="A51" s="57"/>
      <c r="B51" s="85"/>
      <c r="C51" s="123" t="s">
        <v>514</v>
      </c>
      <c r="D51" s="123" t="s">
        <v>180</v>
      </c>
      <c r="E51" s="82"/>
    </row>
    <row r="52" spans="1:5" ht="15">
      <c r="A52" s="57"/>
      <c r="B52" s="85"/>
      <c r="C52" s="123" t="s">
        <v>502</v>
      </c>
      <c r="D52" s="123" t="s">
        <v>174</v>
      </c>
      <c r="E52" s="82"/>
    </row>
    <row r="53" spans="1:5" ht="15">
      <c r="A53" s="57"/>
      <c r="B53" s="85"/>
      <c r="C53" s="123" t="s">
        <v>503</v>
      </c>
      <c r="D53" s="123" t="s">
        <v>172</v>
      </c>
      <c r="E53" s="82"/>
    </row>
    <row r="54" spans="1:5" ht="15.75" thickBot="1">
      <c r="A54" s="85"/>
      <c r="B54" s="85"/>
      <c r="C54" s="123" t="s">
        <v>490</v>
      </c>
      <c r="D54" s="123" t="s">
        <v>178</v>
      </c>
    </row>
    <row r="55" spans="1:5" ht="90.75" thickTop="1">
      <c r="A55" s="91" t="s">
        <v>533</v>
      </c>
      <c r="B55" s="91" t="s">
        <v>530</v>
      </c>
      <c r="C55" s="118" t="s">
        <v>491</v>
      </c>
      <c r="D55" s="118" t="s">
        <v>178</v>
      </c>
      <c r="E55" s="94" t="s">
        <v>532</v>
      </c>
    </row>
    <row r="56" spans="1:5" ht="15">
      <c r="A56" s="119"/>
      <c r="B56" s="119"/>
      <c r="C56" s="119" t="s">
        <v>191</v>
      </c>
      <c r="D56" s="119" t="s">
        <v>178</v>
      </c>
      <c r="E56" s="119"/>
    </row>
    <row r="57" spans="1:5" ht="15">
      <c r="A57" s="119"/>
      <c r="B57" s="119"/>
      <c r="C57" s="119" t="s">
        <v>490</v>
      </c>
      <c r="D57" s="119" t="s">
        <v>178</v>
      </c>
      <c r="E57" s="119"/>
    </row>
    <row r="58" spans="1:5" ht="15">
      <c r="A58" s="119"/>
      <c r="B58" s="119"/>
      <c r="C58" s="119" t="s">
        <v>492</v>
      </c>
      <c r="D58" s="119" t="s">
        <v>695</v>
      </c>
      <c r="E58" s="119"/>
    </row>
    <row r="59" spans="1:5" ht="15">
      <c r="A59" s="119"/>
      <c r="B59" s="119"/>
      <c r="C59" s="119" t="s">
        <v>487</v>
      </c>
      <c r="D59" s="119" t="s">
        <v>201</v>
      </c>
      <c r="E59" s="119"/>
    </row>
    <row r="60" spans="1:5" ht="15">
      <c r="A60" s="119"/>
      <c r="B60" s="119"/>
      <c r="C60" s="119" t="s">
        <v>500</v>
      </c>
      <c r="D60" s="119" t="s">
        <v>180</v>
      </c>
      <c r="E60" s="119"/>
    </row>
    <row r="61" spans="1:5" ht="15">
      <c r="A61" s="119"/>
      <c r="B61" s="119"/>
      <c r="C61" s="119" t="s">
        <v>520</v>
      </c>
      <c r="D61" s="119" t="s">
        <v>180</v>
      </c>
      <c r="E61" s="119"/>
    </row>
    <row r="62" spans="1:5" ht="15">
      <c r="A62" s="119"/>
      <c r="B62" s="119"/>
      <c r="C62" s="119" t="s">
        <v>502</v>
      </c>
      <c r="D62" s="119" t="s">
        <v>506</v>
      </c>
      <c r="E62" s="119"/>
    </row>
    <row r="63" spans="1:5" ht="15">
      <c r="A63" s="119"/>
      <c r="B63" s="119"/>
      <c r="C63" s="119" t="s">
        <v>165</v>
      </c>
      <c r="D63" s="119" t="s">
        <v>172</v>
      </c>
      <c r="E63" s="119"/>
    </row>
    <row r="64" spans="1:5" ht="15">
      <c r="A64" s="119"/>
      <c r="B64" s="119"/>
      <c r="C64" s="119" t="s">
        <v>531</v>
      </c>
      <c r="D64" s="119" t="s">
        <v>193</v>
      </c>
      <c r="E64" s="119"/>
    </row>
    <row r="65" spans="1:5" ht="15.75" thickBot="1">
      <c r="A65" s="119"/>
      <c r="B65" s="119"/>
      <c r="C65" s="119" t="s">
        <v>489</v>
      </c>
      <c r="D65" s="119" t="s">
        <v>177</v>
      </c>
      <c r="E65" s="119"/>
    </row>
    <row r="66" spans="1:5" ht="60.75" thickTop="1">
      <c r="A66" s="120" t="s">
        <v>534</v>
      </c>
      <c r="B66" s="84" t="s">
        <v>535</v>
      </c>
      <c r="C66" s="122" t="s">
        <v>500</v>
      </c>
      <c r="D66" s="122" t="s">
        <v>180</v>
      </c>
      <c r="E66" s="83" t="s">
        <v>537</v>
      </c>
    </row>
    <row r="67" spans="1:5" ht="15">
      <c r="C67" s="123" t="s">
        <v>520</v>
      </c>
      <c r="D67" s="123" t="s">
        <v>180</v>
      </c>
    </row>
    <row r="68" spans="1:5" ht="15">
      <c r="C68" s="123" t="s">
        <v>502</v>
      </c>
      <c r="D68" s="123" t="s">
        <v>506</v>
      </c>
    </row>
    <row r="69" spans="1:5" ht="15">
      <c r="C69" s="123" t="s">
        <v>165</v>
      </c>
      <c r="D69" s="123" t="s">
        <v>172</v>
      </c>
    </row>
    <row r="70" spans="1:5" ht="15.75" thickBot="1">
      <c r="C70" s="123" t="s">
        <v>536</v>
      </c>
      <c r="D70" s="123" t="s">
        <v>171</v>
      </c>
    </row>
    <row r="71" spans="1:5" ht="75.75" thickTop="1">
      <c r="A71" s="91" t="s">
        <v>538</v>
      </c>
      <c r="B71" s="91" t="s">
        <v>539</v>
      </c>
      <c r="C71" s="118" t="s">
        <v>540</v>
      </c>
      <c r="D71" s="118" t="s">
        <v>192</v>
      </c>
      <c r="E71" s="94" t="s">
        <v>542</v>
      </c>
    </row>
    <row r="72" spans="1:5" ht="15">
      <c r="A72" s="119"/>
      <c r="B72" s="119"/>
      <c r="C72" s="119" t="s">
        <v>166</v>
      </c>
      <c r="D72" s="119" t="s">
        <v>695</v>
      </c>
      <c r="E72" s="119"/>
    </row>
    <row r="73" spans="1:5" ht="15">
      <c r="A73" s="119"/>
      <c r="B73" s="119"/>
      <c r="C73" s="119" t="s">
        <v>504</v>
      </c>
      <c r="D73" s="119" t="s">
        <v>178</v>
      </c>
      <c r="E73" s="119"/>
    </row>
    <row r="74" spans="1:5" ht="15">
      <c r="A74" s="119"/>
      <c r="B74" s="119"/>
      <c r="C74" s="119" t="s">
        <v>503</v>
      </c>
      <c r="D74" s="119" t="s">
        <v>172</v>
      </c>
      <c r="E74" s="119"/>
    </row>
    <row r="75" spans="1:5" ht="15">
      <c r="A75" s="119"/>
      <c r="B75" s="119"/>
      <c r="C75" s="119" t="s">
        <v>502</v>
      </c>
      <c r="D75" s="119" t="s">
        <v>506</v>
      </c>
      <c r="E75" s="119"/>
    </row>
    <row r="76" spans="1:5" ht="15.75" thickBot="1">
      <c r="A76" s="119"/>
      <c r="B76" s="119"/>
      <c r="C76" s="119" t="s">
        <v>541</v>
      </c>
      <c r="D76" s="119" t="s">
        <v>178</v>
      </c>
      <c r="E76" s="119"/>
    </row>
    <row r="77" spans="1:5" ht="105.75" thickTop="1">
      <c r="A77" s="120" t="s">
        <v>543</v>
      </c>
      <c r="B77" s="84" t="s">
        <v>419</v>
      </c>
      <c r="C77" s="122" t="s">
        <v>487</v>
      </c>
      <c r="D77" s="122" t="s">
        <v>184</v>
      </c>
      <c r="E77" s="83" t="s">
        <v>545</v>
      </c>
    </row>
    <row r="78" spans="1:5" ht="30">
      <c r="C78" s="90" t="s">
        <v>204</v>
      </c>
      <c r="D78" s="123" t="s">
        <v>280</v>
      </c>
      <c r="E78" s="86"/>
    </row>
    <row r="79" spans="1:5" ht="15">
      <c r="C79" s="123" t="s">
        <v>492</v>
      </c>
      <c r="D79" s="123" t="s">
        <v>695</v>
      </c>
      <c r="E79" s="86"/>
    </row>
    <row r="80" spans="1:5" ht="15">
      <c r="C80" s="123" t="s">
        <v>490</v>
      </c>
      <c r="D80" s="123" t="s">
        <v>178</v>
      </c>
      <c r="E80" s="86"/>
    </row>
    <row r="81" spans="1:5" ht="15">
      <c r="C81" s="123" t="s">
        <v>82</v>
      </c>
      <c r="D81" s="123" t="s">
        <v>178</v>
      </c>
      <c r="E81" s="86" t="s">
        <v>544</v>
      </c>
    </row>
    <row r="82" spans="1:5" ht="13.5" thickBot="1">
      <c r="E82" s="86"/>
    </row>
    <row r="83" spans="1:5" ht="45.75" thickTop="1">
      <c r="A83" s="91" t="s">
        <v>546</v>
      </c>
      <c r="B83" s="91" t="s">
        <v>547</v>
      </c>
      <c r="C83" s="118" t="s">
        <v>548</v>
      </c>
      <c r="D83" s="118" t="s">
        <v>192</v>
      </c>
      <c r="E83" s="94" t="s">
        <v>551</v>
      </c>
    </row>
    <row r="84" spans="1:5" ht="15">
      <c r="A84" s="119"/>
      <c r="B84" s="119"/>
      <c r="C84" s="119" t="s">
        <v>549</v>
      </c>
      <c r="D84" s="119" t="s">
        <v>193</v>
      </c>
      <c r="E84" s="119"/>
    </row>
    <row r="85" spans="1:5" ht="15">
      <c r="A85" s="119"/>
      <c r="B85" s="119"/>
      <c r="C85" s="119" t="s">
        <v>526</v>
      </c>
      <c r="D85" s="119" t="s">
        <v>193</v>
      </c>
      <c r="E85" s="119"/>
    </row>
    <row r="86" spans="1:5" ht="15">
      <c r="A86" s="119"/>
      <c r="B86" s="119"/>
      <c r="C86" s="119" t="s">
        <v>500</v>
      </c>
      <c r="D86" s="119" t="s">
        <v>180</v>
      </c>
      <c r="E86" s="119"/>
    </row>
    <row r="87" spans="1:5" ht="15">
      <c r="A87" s="119"/>
      <c r="B87" s="119"/>
      <c r="C87" s="119" t="s">
        <v>165</v>
      </c>
      <c r="D87" s="119" t="s">
        <v>509</v>
      </c>
      <c r="E87" s="119"/>
    </row>
    <row r="88" spans="1:5" ht="15">
      <c r="A88" s="119"/>
      <c r="B88" s="119"/>
      <c r="C88" s="119" t="s">
        <v>166</v>
      </c>
      <c r="D88" s="119" t="s">
        <v>695</v>
      </c>
      <c r="E88" s="119"/>
    </row>
    <row r="89" spans="1:5" ht="15">
      <c r="A89" s="119"/>
      <c r="B89" s="119"/>
      <c r="C89" s="119" t="s">
        <v>167</v>
      </c>
      <c r="D89" s="119" t="s">
        <v>506</v>
      </c>
      <c r="E89" s="119"/>
    </row>
    <row r="90" spans="1:5" ht="15.75" thickBot="1">
      <c r="A90" s="119"/>
      <c r="B90" s="119"/>
      <c r="C90" s="119" t="s">
        <v>550</v>
      </c>
      <c r="D90" s="119" t="s">
        <v>506</v>
      </c>
      <c r="E90" s="119"/>
    </row>
    <row r="91" spans="1:5" ht="45.75" thickTop="1">
      <c r="A91" s="120" t="s">
        <v>552</v>
      </c>
      <c r="B91" s="84" t="s">
        <v>553</v>
      </c>
      <c r="C91" s="122" t="s">
        <v>491</v>
      </c>
      <c r="D91" s="122" t="s">
        <v>178</v>
      </c>
      <c r="E91" s="83" t="s">
        <v>554</v>
      </c>
    </row>
    <row r="92" spans="1:5" ht="15">
      <c r="C92" s="123" t="s">
        <v>549</v>
      </c>
      <c r="D92" s="123" t="s">
        <v>178</v>
      </c>
      <c r="E92" s="87"/>
    </row>
    <row r="93" spans="1:5" ht="15">
      <c r="C93" s="123" t="s">
        <v>490</v>
      </c>
      <c r="D93" s="123" t="s">
        <v>178</v>
      </c>
      <c r="E93" s="87"/>
    </row>
    <row r="94" spans="1:5" ht="15">
      <c r="C94" s="123" t="s">
        <v>492</v>
      </c>
      <c r="D94" s="123" t="s">
        <v>695</v>
      </c>
      <c r="E94" s="87"/>
    </row>
    <row r="95" spans="1:5" ht="15.75" thickBot="1">
      <c r="C95" s="123" t="s">
        <v>487</v>
      </c>
      <c r="D95" s="123" t="s">
        <v>201</v>
      </c>
    </row>
    <row r="96" spans="1:5" ht="15.75" thickTop="1">
      <c r="A96" s="91" t="s">
        <v>555</v>
      </c>
      <c r="B96" s="91" t="s">
        <v>556</v>
      </c>
      <c r="C96" s="118" t="s">
        <v>557</v>
      </c>
      <c r="D96" s="118" t="s">
        <v>177</v>
      </c>
      <c r="E96" s="173" t="s">
        <v>560</v>
      </c>
    </row>
    <row r="97" spans="1:5" ht="15">
      <c r="A97" s="119"/>
      <c r="B97" s="119"/>
      <c r="C97" s="119" t="s">
        <v>491</v>
      </c>
      <c r="D97" s="119" t="s">
        <v>178</v>
      </c>
      <c r="E97" s="174"/>
    </row>
    <row r="98" spans="1:5" ht="15">
      <c r="A98" s="119"/>
      <c r="B98" s="119"/>
      <c r="C98" s="119" t="s">
        <v>39</v>
      </c>
      <c r="D98" s="119" t="s">
        <v>169</v>
      </c>
      <c r="E98" s="174"/>
    </row>
    <row r="99" spans="1:5" ht="15">
      <c r="A99" s="119"/>
      <c r="B99" s="119"/>
      <c r="C99" s="119" t="s">
        <v>515</v>
      </c>
      <c r="D99" s="119" t="s">
        <v>169</v>
      </c>
      <c r="E99" s="174"/>
    </row>
    <row r="100" spans="1:5" ht="15">
      <c r="A100" s="119"/>
      <c r="B100" s="119"/>
      <c r="C100" s="119" t="s">
        <v>531</v>
      </c>
      <c r="D100" s="119" t="s">
        <v>179</v>
      </c>
      <c r="E100" s="174"/>
    </row>
    <row r="101" spans="1:5" ht="15">
      <c r="A101" s="119"/>
      <c r="B101" s="119"/>
      <c r="C101" s="119" t="s">
        <v>526</v>
      </c>
      <c r="D101" s="119" t="s">
        <v>171</v>
      </c>
      <c r="E101" s="174"/>
    </row>
    <row r="102" spans="1:5" ht="15">
      <c r="A102" s="119"/>
      <c r="B102" s="119"/>
      <c r="C102" s="119" t="s">
        <v>492</v>
      </c>
      <c r="D102" s="119" t="s">
        <v>695</v>
      </c>
      <c r="E102" s="174"/>
    </row>
    <row r="103" spans="1:5" ht="15">
      <c r="A103" s="119"/>
      <c r="B103" s="119"/>
      <c r="C103" s="119" t="s">
        <v>500</v>
      </c>
      <c r="D103" s="119" t="s">
        <v>180</v>
      </c>
      <c r="E103" s="174"/>
    </row>
    <row r="104" spans="1:5" ht="15">
      <c r="A104" s="119"/>
      <c r="B104" s="119"/>
      <c r="C104" s="119" t="s">
        <v>502</v>
      </c>
      <c r="D104" s="119" t="s">
        <v>506</v>
      </c>
      <c r="E104" s="174"/>
    </row>
    <row r="105" spans="1:5" ht="15">
      <c r="A105" s="119"/>
      <c r="B105" s="119"/>
      <c r="C105" s="119" t="s">
        <v>165</v>
      </c>
      <c r="D105" s="119" t="s">
        <v>509</v>
      </c>
      <c r="E105" s="174"/>
    </row>
    <row r="106" spans="1:5" ht="15">
      <c r="A106" s="119"/>
      <c r="B106" s="119"/>
      <c r="C106" s="119" t="s">
        <v>558</v>
      </c>
      <c r="D106" s="119" t="s">
        <v>506</v>
      </c>
      <c r="E106" s="174"/>
    </row>
    <row r="107" spans="1:5" ht="15.75" thickBot="1">
      <c r="A107" s="119"/>
      <c r="B107" s="119"/>
      <c r="C107" s="119" t="s">
        <v>559</v>
      </c>
      <c r="D107" s="119" t="s">
        <v>174</v>
      </c>
      <c r="E107" s="174"/>
    </row>
    <row r="108" spans="1:5" ht="75.75" thickTop="1">
      <c r="A108" s="120" t="s">
        <v>561</v>
      </c>
      <c r="B108" s="84" t="s">
        <v>562</v>
      </c>
      <c r="C108" s="122" t="s">
        <v>503</v>
      </c>
      <c r="D108" s="122" t="s">
        <v>509</v>
      </c>
      <c r="E108" s="83" t="s">
        <v>565</v>
      </c>
    </row>
    <row r="109" spans="1:5" ht="15">
      <c r="C109" s="123" t="s">
        <v>167</v>
      </c>
      <c r="D109" s="123" t="s">
        <v>506</v>
      </c>
    </row>
    <row r="110" spans="1:5" ht="15">
      <c r="C110" s="123" t="s">
        <v>500</v>
      </c>
      <c r="D110" s="123" t="s">
        <v>180</v>
      </c>
    </row>
    <row r="111" spans="1:5" ht="15">
      <c r="C111" s="123" t="s">
        <v>520</v>
      </c>
      <c r="D111" s="123" t="s">
        <v>180</v>
      </c>
    </row>
    <row r="112" spans="1:5" ht="15">
      <c r="C112" s="123" t="s">
        <v>491</v>
      </c>
      <c r="D112" s="123" t="s">
        <v>178</v>
      </c>
    </row>
    <row r="113" spans="1:5" ht="15">
      <c r="C113" s="123" t="s">
        <v>563</v>
      </c>
      <c r="D113" s="123" t="s">
        <v>177</v>
      </c>
    </row>
    <row r="114" spans="1:5" ht="15">
      <c r="C114" s="123" t="s">
        <v>504</v>
      </c>
      <c r="D114" s="123">
        <v>50</v>
      </c>
    </row>
    <row r="115" spans="1:5" ht="15">
      <c r="C115" s="123" t="s">
        <v>564</v>
      </c>
      <c r="D115" s="123" t="s">
        <v>192</v>
      </c>
    </row>
    <row r="116" spans="1:5" ht="15.75" thickBot="1">
      <c r="C116" s="123" t="s">
        <v>166</v>
      </c>
      <c r="D116" s="123" t="s">
        <v>695</v>
      </c>
    </row>
    <row r="117" spans="1:5" ht="15.75" thickTop="1">
      <c r="A117" s="91" t="s">
        <v>566</v>
      </c>
      <c r="B117" s="91" t="s">
        <v>567</v>
      </c>
      <c r="C117" s="118" t="s">
        <v>568</v>
      </c>
      <c r="D117" s="118" t="s">
        <v>178</v>
      </c>
      <c r="E117" s="173" t="s">
        <v>570</v>
      </c>
    </row>
    <row r="118" spans="1:5" ht="15">
      <c r="A118" s="119"/>
      <c r="B118" s="119"/>
      <c r="C118" s="119" t="s">
        <v>541</v>
      </c>
      <c r="D118" s="119" t="s">
        <v>178</v>
      </c>
      <c r="E118" s="174"/>
    </row>
    <row r="119" spans="1:5" ht="15">
      <c r="A119" s="119"/>
      <c r="B119" s="119"/>
      <c r="C119" s="119" t="s">
        <v>500</v>
      </c>
      <c r="D119" s="119" t="s">
        <v>180</v>
      </c>
      <c r="E119" s="174"/>
    </row>
    <row r="120" spans="1:5" ht="15">
      <c r="A120" s="119"/>
      <c r="B120" s="119"/>
      <c r="C120" s="119" t="s">
        <v>514</v>
      </c>
      <c r="D120" s="119" t="s">
        <v>180</v>
      </c>
      <c r="E120" s="174"/>
    </row>
    <row r="121" spans="1:5" ht="15">
      <c r="A121" s="119"/>
      <c r="B121" s="119"/>
      <c r="C121" s="119" t="s">
        <v>569</v>
      </c>
      <c r="D121" s="119" t="s">
        <v>506</v>
      </c>
      <c r="E121" s="174"/>
    </row>
    <row r="122" spans="1:5" ht="15">
      <c r="A122" s="119"/>
      <c r="B122" s="119"/>
      <c r="C122" s="119" t="s">
        <v>531</v>
      </c>
      <c r="D122" s="119" t="s">
        <v>179</v>
      </c>
      <c r="E122" s="174"/>
    </row>
    <row r="123" spans="1:5" ht="15">
      <c r="A123" s="119"/>
      <c r="B123" s="119"/>
      <c r="C123" s="119" t="s">
        <v>189</v>
      </c>
      <c r="D123" s="119" t="s">
        <v>178</v>
      </c>
      <c r="E123" s="174"/>
    </row>
    <row r="124" spans="1:5" ht="15">
      <c r="A124" s="119"/>
      <c r="B124" s="119"/>
      <c r="C124" s="119" t="s">
        <v>549</v>
      </c>
      <c r="D124" s="119" t="s">
        <v>186</v>
      </c>
      <c r="E124" s="174"/>
    </row>
    <row r="125" spans="1:5" ht="15">
      <c r="A125" s="119"/>
      <c r="B125" s="119"/>
      <c r="C125" s="119" t="s">
        <v>503</v>
      </c>
      <c r="D125" s="119" t="s">
        <v>172</v>
      </c>
      <c r="E125" s="174"/>
    </row>
    <row r="126" spans="1:5" ht="15">
      <c r="A126" s="119"/>
      <c r="B126" s="119"/>
      <c r="C126" s="119" t="s">
        <v>492</v>
      </c>
      <c r="D126" s="119" t="s">
        <v>695</v>
      </c>
      <c r="E126" s="174"/>
    </row>
    <row r="127" spans="1:5" ht="15.75" thickBot="1">
      <c r="A127" s="119"/>
      <c r="B127" s="119"/>
      <c r="C127" s="119" t="s">
        <v>525</v>
      </c>
      <c r="D127" s="119">
        <v>60</v>
      </c>
      <c r="E127" s="174"/>
    </row>
    <row r="128" spans="1:5" ht="75.75" thickTop="1">
      <c r="A128" s="120" t="s">
        <v>571</v>
      </c>
      <c r="B128" s="84" t="s">
        <v>418</v>
      </c>
      <c r="C128" s="122" t="s">
        <v>548</v>
      </c>
      <c r="D128" s="122" t="s">
        <v>192</v>
      </c>
      <c r="E128" s="83" t="s">
        <v>573</v>
      </c>
    </row>
    <row r="129" spans="1:5" ht="15">
      <c r="C129" s="123" t="s">
        <v>191</v>
      </c>
      <c r="D129" s="123" t="s">
        <v>193</v>
      </c>
    </row>
    <row r="130" spans="1:5" ht="15">
      <c r="C130" s="123" t="s">
        <v>572</v>
      </c>
      <c r="D130" s="123" t="s">
        <v>178</v>
      </c>
    </row>
    <row r="131" spans="1:5" ht="15">
      <c r="C131" s="123" t="s">
        <v>500</v>
      </c>
      <c r="D131" s="123" t="s">
        <v>180</v>
      </c>
    </row>
    <row r="132" spans="1:5" ht="15">
      <c r="C132" s="123" t="s">
        <v>165</v>
      </c>
      <c r="D132" s="123" t="s">
        <v>172</v>
      </c>
    </row>
    <row r="133" spans="1:5" ht="15">
      <c r="C133" s="123" t="s">
        <v>492</v>
      </c>
      <c r="D133" s="123" t="s">
        <v>695</v>
      </c>
    </row>
    <row r="134" spans="1:5" ht="15">
      <c r="C134" s="123" t="s">
        <v>502</v>
      </c>
      <c r="D134" s="123" t="s">
        <v>506</v>
      </c>
    </row>
    <row r="135" spans="1:5" ht="15">
      <c r="C135" s="123" t="s">
        <v>550</v>
      </c>
      <c r="D135" s="123" t="s">
        <v>506</v>
      </c>
    </row>
    <row r="136" spans="1:5" ht="15.75" thickBot="1">
      <c r="C136" s="123" t="s">
        <v>504</v>
      </c>
      <c r="D136" s="123" t="s">
        <v>178</v>
      </c>
    </row>
    <row r="137" spans="1:5" ht="60.75" thickTop="1">
      <c r="A137" s="91" t="s">
        <v>574</v>
      </c>
      <c r="B137" s="91" t="s">
        <v>575</v>
      </c>
      <c r="C137" s="118" t="s">
        <v>164</v>
      </c>
      <c r="D137" s="118" t="s">
        <v>180</v>
      </c>
      <c r="E137" s="118" t="s">
        <v>576</v>
      </c>
    </row>
    <row r="138" spans="1:5" ht="15">
      <c r="A138" s="119"/>
      <c r="B138" s="119"/>
      <c r="C138" s="119" t="s">
        <v>502</v>
      </c>
      <c r="D138" s="119" t="s">
        <v>506</v>
      </c>
      <c r="E138" s="119"/>
    </row>
    <row r="139" spans="1:5" ht="15">
      <c r="A139" s="119"/>
      <c r="B139" s="119"/>
      <c r="C139" s="119" t="s">
        <v>520</v>
      </c>
      <c r="D139" s="119" t="s">
        <v>180</v>
      </c>
      <c r="E139" s="119"/>
    </row>
    <row r="140" spans="1:5" ht="15">
      <c r="A140" s="119"/>
      <c r="B140" s="119"/>
      <c r="C140" s="119" t="s">
        <v>503</v>
      </c>
      <c r="D140" s="119" t="s">
        <v>172</v>
      </c>
      <c r="E140" s="119"/>
    </row>
    <row r="141" spans="1:5" ht="15">
      <c r="A141" s="119"/>
      <c r="B141" s="119"/>
      <c r="C141" s="119" t="s">
        <v>536</v>
      </c>
      <c r="D141" s="119" t="s">
        <v>171</v>
      </c>
      <c r="E141" s="119"/>
    </row>
    <row r="142" spans="1:5" ht="15">
      <c r="A142" s="119"/>
      <c r="B142" s="119"/>
      <c r="C142" s="119" t="s">
        <v>491</v>
      </c>
      <c r="D142" s="119" t="s">
        <v>193</v>
      </c>
      <c r="E142" s="119"/>
    </row>
    <row r="143" spans="1:5" ht="15.75" thickBot="1">
      <c r="A143" s="119"/>
      <c r="B143" s="119"/>
      <c r="C143" s="119" t="s">
        <v>559</v>
      </c>
      <c r="D143" s="119" t="s">
        <v>506</v>
      </c>
      <c r="E143" s="119"/>
    </row>
    <row r="144" spans="1:5" ht="54" thickTop="1">
      <c r="A144" s="120" t="s">
        <v>577</v>
      </c>
      <c r="B144" s="84" t="s">
        <v>423</v>
      </c>
      <c r="C144" s="122" t="s">
        <v>580</v>
      </c>
      <c r="D144" s="122" t="s">
        <v>179</v>
      </c>
      <c r="E144" s="83" t="s">
        <v>581</v>
      </c>
    </row>
    <row r="145" spans="1:5" ht="15">
      <c r="A145" s="123"/>
      <c r="B145" s="123"/>
      <c r="C145" s="123" t="s">
        <v>166</v>
      </c>
      <c r="D145" s="123" t="s">
        <v>695</v>
      </c>
      <c r="E145" s="123"/>
    </row>
    <row r="146" spans="1:5" ht="15">
      <c r="A146" s="123"/>
      <c r="B146" s="123"/>
      <c r="C146" s="123" t="s">
        <v>39</v>
      </c>
      <c r="D146" s="123" t="s">
        <v>169</v>
      </c>
      <c r="E146" s="123"/>
    </row>
    <row r="147" spans="1:5" ht="15">
      <c r="A147" s="123"/>
      <c r="B147" s="123"/>
      <c r="C147" s="123" t="s">
        <v>514</v>
      </c>
      <c r="D147" s="123" t="s">
        <v>180</v>
      </c>
      <c r="E147" s="123"/>
    </row>
    <row r="148" spans="1:5" ht="15">
      <c r="A148" s="123"/>
      <c r="B148" s="123"/>
      <c r="C148" s="123" t="s">
        <v>165</v>
      </c>
      <c r="D148" s="123" t="s">
        <v>172</v>
      </c>
      <c r="E148" s="123"/>
    </row>
    <row r="149" spans="1:5" ht="15.75" thickBot="1">
      <c r="A149" s="123"/>
      <c r="B149" s="123"/>
      <c r="C149" s="123" t="s">
        <v>78</v>
      </c>
      <c r="D149" s="123" t="s">
        <v>192</v>
      </c>
      <c r="E149" s="123"/>
    </row>
    <row r="150" spans="1:5" ht="41.25" thickTop="1">
      <c r="A150" s="91" t="s">
        <v>579</v>
      </c>
      <c r="B150" s="91" t="s">
        <v>583</v>
      </c>
      <c r="C150" s="118" t="s">
        <v>187</v>
      </c>
      <c r="D150" s="118" t="s">
        <v>192</v>
      </c>
      <c r="E150" s="118" t="s">
        <v>585</v>
      </c>
    </row>
    <row r="151" spans="1:5" ht="15">
      <c r="A151" s="119"/>
      <c r="B151" s="119"/>
      <c r="C151" s="119" t="s">
        <v>191</v>
      </c>
      <c r="D151" s="119" t="s">
        <v>193</v>
      </c>
      <c r="E151" s="119"/>
    </row>
    <row r="152" spans="1:5" ht="15">
      <c r="A152" s="119"/>
      <c r="B152" s="119"/>
      <c r="C152" s="119" t="s">
        <v>572</v>
      </c>
      <c r="D152" s="119" t="s">
        <v>178</v>
      </c>
      <c r="E152" s="119"/>
    </row>
    <row r="153" spans="1:5" ht="15">
      <c r="A153" s="119"/>
      <c r="B153" s="119"/>
      <c r="C153" s="119" t="s">
        <v>164</v>
      </c>
      <c r="D153" s="119">
        <v>10</v>
      </c>
      <c r="E153" s="119"/>
    </row>
    <row r="154" spans="1:5" ht="15">
      <c r="A154" s="119"/>
      <c r="B154" s="119"/>
      <c r="C154" s="119" t="s">
        <v>165</v>
      </c>
      <c r="D154" s="119" t="s">
        <v>172</v>
      </c>
      <c r="E154" s="119"/>
    </row>
    <row r="155" spans="1:5" ht="15">
      <c r="A155" s="119"/>
      <c r="B155" s="119"/>
      <c r="C155" s="119" t="s">
        <v>166</v>
      </c>
      <c r="D155" s="119" t="s">
        <v>695</v>
      </c>
      <c r="E155" s="119"/>
    </row>
    <row r="156" spans="1:5" ht="15">
      <c r="A156" s="119"/>
      <c r="B156" s="119"/>
      <c r="C156" s="119" t="s">
        <v>167</v>
      </c>
      <c r="D156" s="119" t="s">
        <v>174</v>
      </c>
      <c r="E156" s="119"/>
    </row>
    <row r="157" spans="1:5" ht="15">
      <c r="A157" s="119"/>
      <c r="B157" s="119"/>
      <c r="C157" s="119" t="s">
        <v>584</v>
      </c>
      <c r="D157" s="119" t="s">
        <v>174</v>
      </c>
      <c r="E157" s="119"/>
    </row>
    <row r="158" spans="1:5" ht="15.75" thickBot="1">
      <c r="A158" s="119"/>
      <c r="B158" s="119"/>
      <c r="C158" s="119" t="s">
        <v>199</v>
      </c>
      <c r="D158" s="119" t="s">
        <v>171</v>
      </c>
      <c r="E158" s="119"/>
    </row>
    <row r="159" spans="1:5" ht="54" thickTop="1">
      <c r="A159" s="120" t="s">
        <v>582</v>
      </c>
      <c r="B159" s="84" t="s">
        <v>587</v>
      </c>
      <c r="C159" s="122" t="s">
        <v>164</v>
      </c>
      <c r="D159" s="122" t="s">
        <v>180</v>
      </c>
      <c r="E159" s="83" t="s">
        <v>589</v>
      </c>
    </row>
    <row r="160" spans="1:5" ht="15">
      <c r="A160" s="123"/>
      <c r="B160" s="123"/>
      <c r="C160" s="123" t="s">
        <v>167</v>
      </c>
      <c r="D160" s="123" t="s">
        <v>174</v>
      </c>
      <c r="E160" s="123"/>
    </row>
    <row r="161" spans="1:5" ht="15">
      <c r="A161" s="123"/>
      <c r="B161" s="123"/>
      <c r="C161" s="123" t="s">
        <v>514</v>
      </c>
      <c r="D161" s="123" t="s">
        <v>180</v>
      </c>
      <c r="E161" s="123"/>
    </row>
    <row r="162" spans="1:5" ht="15">
      <c r="A162" s="123"/>
      <c r="B162" s="123"/>
      <c r="C162" s="123" t="s">
        <v>165</v>
      </c>
      <c r="D162" s="123" t="s">
        <v>172</v>
      </c>
      <c r="E162" s="123"/>
    </row>
    <row r="163" spans="1:5" ht="15">
      <c r="A163" s="123"/>
      <c r="B163" s="123"/>
      <c r="C163" s="123" t="s">
        <v>578</v>
      </c>
      <c r="D163" s="123" t="s">
        <v>171</v>
      </c>
      <c r="E163" s="123"/>
    </row>
    <row r="164" spans="1:5" ht="15">
      <c r="A164" s="123"/>
      <c r="B164" s="123"/>
      <c r="C164" s="123" t="s">
        <v>588</v>
      </c>
      <c r="D164" s="123" t="s">
        <v>178</v>
      </c>
      <c r="E164" s="123"/>
    </row>
    <row r="165" spans="1:5" ht="15.75" thickBot="1">
      <c r="A165" s="123"/>
      <c r="B165" s="123"/>
      <c r="C165" s="123" t="s">
        <v>181</v>
      </c>
      <c r="D165" s="123" t="s">
        <v>174</v>
      </c>
      <c r="E165" s="123"/>
    </row>
    <row r="166" spans="1:5" ht="41.25" thickTop="1">
      <c r="A166" s="91" t="s">
        <v>586</v>
      </c>
      <c r="B166" s="91" t="s">
        <v>461</v>
      </c>
      <c r="C166" s="118" t="s">
        <v>187</v>
      </c>
      <c r="D166" s="118" t="s">
        <v>192</v>
      </c>
      <c r="E166" s="118" t="s">
        <v>590</v>
      </c>
    </row>
    <row r="167" spans="1:5" ht="15">
      <c r="A167" s="119"/>
      <c r="B167" s="119"/>
      <c r="C167" s="119" t="s">
        <v>191</v>
      </c>
      <c r="D167" s="119" t="s">
        <v>193</v>
      </c>
      <c r="E167" s="119"/>
    </row>
    <row r="168" spans="1:5" ht="15">
      <c r="A168" s="119"/>
      <c r="B168" s="119"/>
      <c r="C168" s="119" t="s">
        <v>82</v>
      </c>
      <c r="D168" s="119" t="s">
        <v>193</v>
      </c>
      <c r="E168" s="119"/>
    </row>
    <row r="169" spans="1:5" ht="15">
      <c r="A169" s="119"/>
      <c r="B169" s="119"/>
      <c r="C169" s="119" t="s">
        <v>164</v>
      </c>
      <c r="D169" s="119" t="s">
        <v>180</v>
      </c>
      <c r="E169" s="119"/>
    </row>
    <row r="170" spans="1:5" ht="15">
      <c r="A170" s="119"/>
      <c r="B170" s="119"/>
      <c r="C170" s="119" t="s">
        <v>165</v>
      </c>
      <c r="D170" s="119" t="s">
        <v>172</v>
      </c>
      <c r="E170" s="119"/>
    </row>
    <row r="171" spans="1:5" ht="15">
      <c r="A171" s="119"/>
      <c r="B171" s="119"/>
      <c r="C171" s="119" t="s">
        <v>166</v>
      </c>
      <c r="D171" s="119" t="s">
        <v>695</v>
      </c>
      <c r="E171" s="119"/>
    </row>
    <row r="172" spans="1:5" ht="15">
      <c r="A172" s="119"/>
      <c r="B172" s="119"/>
      <c r="C172" s="119" t="s">
        <v>167</v>
      </c>
      <c r="D172" s="119" t="s">
        <v>174</v>
      </c>
      <c r="E172" s="119"/>
    </row>
    <row r="173" spans="1:5" ht="15.75" thickBot="1">
      <c r="A173" s="119"/>
      <c r="B173" s="119"/>
      <c r="C173" s="119" t="s">
        <v>189</v>
      </c>
      <c r="D173" s="119" t="s">
        <v>178</v>
      </c>
      <c r="E173" s="119"/>
    </row>
    <row r="174" spans="1:5" ht="81.75" thickTop="1">
      <c r="A174" s="120" t="s">
        <v>591</v>
      </c>
      <c r="B174" s="84" t="s">
        <v>430</v>
      </c>
      <c r="C174" s="122" t="s">
        <v>175</v>
      </c>
      <c r="D174" s="122" t="s">
        <v>177</v>
      </c>
      <c r="E174" s="83" t="s">
        <v>593</v>
      </c>
    </row>
    <row r="175" spans="1:5" ht="15">
      <c r="C175" s="123" t="s">
        <v>166</v>
      </c>
      <c r="D175" s="123" t="s">
        <v>695</v>
      </c>
      <c r="E175" s="88"/>
    </row>
    <row r="176" spans="1:5" ht="15">
      <c r="C176" s="123" t="s">
        <v>176</v>
      </c>
      <c r="D176" s="123" t="s">
        <v>178</v>
      </c>
    </row>
    <row r="177" spans="1:5" ht="15">
      <c r="C177" s="123" t="s">
        <v>165</v>
      </c>
      <c r="D177" s="123" t="s">
        <v>172</v>
      </c>
    </row>
    <row r="178" spans="1:5" ht="15">
      <c r="C178" s="123" t="s">
        <v>164</v>
      </c>
      <c r="D178" s="123" t="s">
        <v>180</v>
      </c>
    </row>
    <row r="179" spans="1:5" ht="15">
      <c r="C179" s="123" t="s">
        <v>167</v>
      </c>
      <c r="D179" s="123" t="s">
        <v>174</v>
      </c>
    </row>
    <row r="180" spans="1:5" ht="15">
      <c r="C180" s="123" t="s">
        <v>181</v>
      </c>
      <c r="D180" s="123" t="s">
        <v>174</v>
      </c>
    </row>
    <row r="181" spans="1:5" ht="15">
      <c r="C181" s="123" t="s">
        <v>569</v>
      </c>
      <c r="D181" s="123" t="s">
        <v>174</v>
      </c>
    </row>
    <row r="182" spans="1:5" ht="15">
      <c r="C182" s="123" t="s">
        <v>514</v>
      </c>
      <c r="D182" s="123" t="s">
        <v>180</v>
      </c>
    </row>
    <row r="183" spans="1:5" ht="15">
      <c r="C183" s="123" t="s">
        <v>52</v>
      </c>
      <c r="D183" s="123" t="s">
        <v>177</v>
      </c>
    </row>
    <row r="184" spans="1:5" ht="15">
      <c r="C184" s="123" t="s">
        <v>82</v>
      </c>
      <c r="D184" s="123" t="s">
        <v>178</v>
      </c>
    </row>
    <row r="185" spans="1:5" ht="15">
      <c r="C185" s="123" t="s">
        <v>39</v>
      </c>
      <c r="D185" s="123" t="s">
        <v>169</v>
      </c>
    </row>
    <row r="186" spans="1:5" ht="15.75" thickBot="1">
      <c r="C186" s="123" t="s">
        <v>225</v>
      </c>
      <c r="D186" s="123" t="s">
        <v>169</v>
      </c>
    </row>
    <row r="187" spans="1:5" ht="75.75" thickTop="1">
      <c r="A187" s="91" t="s">
        <v>592</v>
      </c>
      <c r="B187" s="91" t="s">
        <v>594</v>
      </c>
      <c r="C187" s="118" t="s">
        <v>187</v>
      </c>
      <c r="D187" s="118" t="s">
        <v>192</v>
      </c>
      <c r="E187" s="118" t="s">
        <v>595</v>
      </c>
    </row>
    <row r="188" spans="1:5" ht="15">
      <c r="A188" s="119"/>
      <c r="B188" s="119"/>
      <c r="C188" s="119" t="s">
        <v>164</v>
      </c>
      <c r="D188" s="119" t="s">
        <v>180</v>
      </c>
      <c r="E188" s="119"/>
    </row>
    <row r="189" spans="1:5" ht="15">
      <c r="A189" s="119"/>
      <c r="B189" s="119"/>
      <c r="C189" s="119" t="s">
        <v>514</v>
      </c>
      <c r="D189" s="119" t="s">
        <v>180</v>
      </c>
      <c r="E189" s="119"/>
    </row>
    <row r="190" spans="1:5" ht="15">
      <c r="A190" s="119"/>
      <c r="B190" s="119"/>
      <c r="C190" s="119" t="s">
        <v>187</v>
      </c>
      <c r="D190" s="119" t="s">
        <v>177</v>
      </c>
      <c r="E190" s="119"/>
    </row>
    <row r="191" spans="1:5" ht="15">
      <c r="A191" s="119"/>
      <c r="B191" s="119"/>
      <c r="C191" s="119" t="s">
        <v>140</v>
      </c>
      <c r="D191" s="119" t="s">
        <v>179</v>
      </c>
      <c r="E191" s="119"/>
    </row>
    <row r="192" spans="1:5" ht="15.75" thickBot="1">
      <c r="A192" s="119"/>
      <c r="B192" s="119"/>
      <c r="C192" s="119" t="s">
        <v>166</v>
      </c>
      <c r="D192" s="119" t="s">
        <v>695</v>
      </c>
      <c r="E192" s="119"/>
    </row>
    <row r="193" spans="1:5" ht="60.75" thickTop="1">
      <c r="A193" s="120" t="s">
        <v>596</v>
      </c>
      <c r="B193" s="84" t="s">
        <v>597</v>
      </c>
      <c r="C193" s="122" t="s">
        <v>580</v>
      </c>
      <c r="D193" s="122" t="s">
        <v>179</v>
      </c>
      <c r="E193" s="83" t="s">
        <v>598</v>
      </c>
    </row>
    <row r="194" spans="1:5" ht="15">
      <c r="C194" s="123" t="s">
        <v>183</v>
      </c>
      <c r="D194" s="123" t="s">
        <v>184</v>
      </c>
    </row>
    <row r="195" spans="1:5" ht="15">
      <c r="C195" s="123" t="s">
        <v>588</v>
      </c>
      <c r="D195" s="123" t="s">
        <v>178</v>
      </c>
    </row>
    <row r="196" spans="1:5" ht="15">
      <c r="C196" s="123" t="s">
        <v>82</v>
      </c>
      <c r="D196" s="123" t="s">
        <v>178</v>
      </c>
    </row>
    <row r="197" spans="1:5" ht="15">
      <c r="C197" s="123" t="s">
        <v>191</v>
      </c>
      <c r="D197" s="123" t="s">
        <v>178</v>
      </c>
    </row>
    <row r="198" spans="1:5" ht="15">
      <c r="C198" s="123" t="s">
        <v>181</v>
      </c>
      <c r="D198" s="123" t="s">
        <v>174</v>
      </c>
    </row>
    <row r="199" spans="1:5" ht="15">
      <c r="C199" s="123" t="s">
        <v>166</v>
      </c>
      <c r="D199" s="123" t="s">
        <v>695</v>
      </c>
    </row>
    <row r="200" spans="1:5" ht="15.75" thickBot="1">
      <c r="C200" s="123" t="s">
        <v>164</v>
      </c>
      <c r="D200" s="123" t="s">
        <v>180</v>
      </c>
    </row>
    <row r="201" spans="1:5" ht="79.5" thickTop="1">
      <c r="A201" s="91" t="s">
        <v>599</v>
      </c>
      <c r="B201" s="91" t="s">
        <v>600</v>
      </c>
      <c r="C201" s="118" t="s">
        <v>601</v>
      </c>
      <c r="D201" s="118" t="s">
        <v>177</v>
      </c>
      <c r="E201" s="118" t="s">
        <v>603</v>
      </c>
    </row>
    <row r="202" spans="1:5" ht="15">
      <c r="A202" s="119"/>
      <c r="B202" s="119"/>
      <c r="C202" s="119" t="s">
        <v>165</v>
      </c>
      <c r="D202" s="119" t="s">
        <v>172</v>
      </c>
      <c r="E202" s="119"/>
    </row>
    <row r="203" spans="1:5" ht="15">
      <c r="A203" s="119"/>
      <c r="B203" s="119"/>
      <c r="C203" s="119" t="s">
        <v>166</v>
      </c>
      <c r="D203" s="119" t="s">
        <v>695</v>
      </c>
      <c r="E203" s="119"/>
    </row>
    <row r="204" spans="1:5" ht="15">
      <c r="A204" s="119"/>
      <c r="B204" s="119"/>
      <c r="C204" s="119" t="s">
        <v>164</v>
      </c>
      <c r="D204" s="119" t="s">
        <v>180</v>
      </c>
      <c r="E204" s="119"/>
    </row>
    <row r="205" spans="1:5" ht="15">
      <c r="A205" s="119"/>
      <c r="B205" s="119"/>
      <c r="C205" s="119" t="s">
        <v>167</v>
      </c>
      <c r="D205" s="119" t="s">
        <v>174</v>
      </c>
      <c r="E205" s="119"/>
    </row>
    <row r="206" spans="1:5" ht="15">
      <c r="A206" s="119"/>
      <c r="B206" s="119"/>
      <c r="C206" s="119" t="s">
        <v>514</v>
      </c>
      <c r="D206" s="119" t="s">
        <v>180</v>
      </c>
      <c r="E206" s="119"/>
    </row>
    <row r="207" spans="1:5" ht="15">
      <c r="A207" s="119"/>
      <c r="B207" s="119"/>
      <c r="C207" s="119" t="s">
        <v>182</v>
      </c>
      <c r="D207" s="119" t="s">
        <v>174</v>
      </c>
      <c r="E207" s="119"/>
    </row>
    <row r="208" spans="1:5" ht="15">
      <c r="A208" s="119"/>
      <c r="B208" s="119"/>
      <c r="C208" s="119" t="s">
        <v>82</v>
      </c>
      <c r="D208" s="119" t="s">
        <v>178</v>
      </c>
      <c r="E208" s="119"/>
    </row>
    <row r="209" spans="1:5" ht="15">
      <c r="A209" s="119"/>
      <c r="B209" s="119"/>
      <c r="C209" s="119" t="s">
        <v>225</v>
      </c>
      <c r="D209" s="119" t="s">
        <v>169</v>
      </c>
      <c r="E209" s="119"/>
    </row>
    <row r="210" spans="1:5" ht="15.75" thickBot="1">
      <c r="A210" s="119"/>
      <c r="B210" s="119"/>
      <c r="C210" s="119" t="s">
        <v>602</v>
      </c>
      <c r="D210" s="119" t="s">
        <v>192</v>
      </c>
      <c r="E210" s="119"/>
    </row>
    <row r="211" spans="1:5" ht="30.75" thickTop="1">
      <c r="A211" s="120" t="s">
        <v>604</v>
      </c>
      <c r="B211" s="84" t="s">
        <v>605</v>
      </c>
      <c r="C211" s="122" t="s">
        <v>588</v>
      </c>
      <c r="D211" s="122" t="s">
        <v>178</v>
      </c>
      <c r="E211" s="83" t="s">
        <v>606</v>
      </c>
    </row>
    <row r="212" spans="1:5" ht="15">
      <c r="C212" s="123" t="s">
        <v>602</v>
      </c>
      <c r="D212" s="123" t="s">
        <v>192</v>
      </c>
      <c r="E212" s="123"/>
    </row>
    <row r="213" spans="1:5" ht="15">
      <c r="C213" s="123" t="s">
        <v>78</v>
      </c>
      <c r="D213" s="123" t="s">
        <v>192</v>
      </c>
      <c r="E213" s="123"/>
    </row>
    <row r="214" spans="1:5" ht="15">
      <c r="C214" s="123" t="s">
        <v>164</v>
      </c>
      <c r="D214" s="123" t="s">
        <v>180</v>
      </c>
      <c r="E214" s="123"/>
    </row>
    <row r="215" spans="1:5" ht="15">
      <c r="C215" s="123" t="s">
        <v>167</v>
      </c>
      <c r="D215" s="123" t="s">
        <v>174</v>
      </c>
      <c r="E215" s="123"/>
    </row>
    <row r="216" spans="1:5" ht="15">
      <c r="C216" s="123" t="s">
        <v>165</v>
      </c>
      <c r="D216" s="123" t="s">
        <v>172</v>
      </c>
      <c r="E216" s="123"/>
    </row>
    <row r="217" spans="1:5" ht="15.75" thickBot="1">
      <c r="C217" s="123" t="s">
        <v>166</v>
      </c>
      <c r="D217" s="123" t="s">
        <v>695</v>
      </c>
      <c r="E217" s="123"/>
    </row>
    <row r="218" spans="1:5" ht="30.75" thickTop="1">
      <c r="A218" s="91" t="s">
        <v>607</v>
      </c>
      <c r="B218" s="91" t="s">
        <v>463</v>
      </c>
      <c r="C218" s="118" t="s">
        <v>82</v>
      </c>
      <c r="D218" s="118" t="s">
        <v>178</v>
      </c>
      <c r="E218" s="118" t="s">
        <v>609</v>
      </c>
    </row>
    <row r="219" spans="1:5" ht="15">
      <c r="A219" s="119"/>
      <c r="B219" s="119"/>
      <c r="C219" s="119" t="s">
        <v>225</v>
      </c>
      <c r="D219" s="119" t="s">
        <v>169</v>
      </c>
      <c r="E219" s="119"/>
    </row>
    <row r="220" spans="1:5" ht="15">
      <c r="A220" s="119"/>
      <c r="B220" s="119"/>
      <c r="C220" s="119" t="s">
        <v>602</v>
      </c>
      <c r="D220" s="119" t="s">
        <v>192</v>
      </c>
      <c r="E220" s="119"/>
    </row>
    <row r="221" spans="1:5" ht="15">
      <c r="A221" s="119"/>
      <c r="B221" s="119"/>
      <c r="C221" s="119" t="s">
        <v>608</v>
      </c>
      <c r="D221" s="119" t="s">
        <v>177</v>
      </c>
      <c r="E221" s="119"/>
    </row>
    <row r="222" spans="1:5" ht="15">
      <c r="A222" s="119"/>
      <c r="B222" s="119"/>
      <c r="C222" s="119" t="s">
        <v>165</v>
      </c>
      <c r="D222" s="119" t="s">
        <v>172</v>
      </c>
      <c r="E222" s="119"/>
    </row>
    <row r="223" spans="1:5" ht="15.75" thickBot="1">
      <c r="A223" s="119"/>
      <c r="B223" s="119"/>
      <c r="C223" s="119" t="s">
        <v>166</v>
      </c>
      <c r="D223" s="119" t="s">
        <v>695</v>
      </c>
      <c r="E223" s="119"/>
    </row>
    <row r="224" spans="1:5" ht="60.75" thickTop="1">
      <c r="A224" s="120" t="s">
        <v>610</v>
      </c>
      <c r="B224" s="84" t="s">
        <v>612</v>
      </c>
      <c r="C224" s="122" t="s">
        <v>580</v>
      </c>
      <c r="D224" s="122" t="s">
        <v>177</v>
      </c>
      <c r="E224" s="83" t="s">
        <v>611</v>
      </c>
    </row>
    <row r="225" spans="1:5" ht="15">
      <c r="C225" s="123" t="s">
        <v>166</v>
      </c>
      <c r="D225" s="123" t="s">
        <v>695</v>
      </c>
    </row>
    <row r="226" spans="1:5" ht="15">
      <c r="C226" s="123" t="s">
        <v>183</v>
      </c>
      <c r="D226" s="123" t="s">
        <v>184</v>
      </c>
    </row>
    <row r="227" spans="1:5" ht="15">
      <c r="C227" s="123" t="s">
        <v>82</v>
      </c>
      <c r="D227" s="123" t="s">
        <v>178</v>
      </c>
    </row>
    <row r="228" spans="1:5" ht="15.75" thickBot="1">
      <c r="C228" s="123" t="s">
        <v>572</v>
      </c>
      <c r="D228" s="123" t="s">
        <v>178</v>
      </c>
    </row>
    <row r="229" spans="1:5" ht="28.5" thickTop="1">
      <c r="A229" s="91" t="s">
        <v>613</v>
      </c>
      <c r="B229" s="91" t="s">
        <v>614</v>
      </c>
      <c r="C229" s="118" t="s">
        <v>615</v>
      </c>
      <c r="D229" s="118" t="s">
        <v>696</v>
      </c>
      <c r="E229" s="118" t="s">
        <v>616</v>
      </c>
    </row>
    <row r="230" spans="1:5" ht="15">
      <c r="A230" s="119"/>
      <c r="B230" s="119"/>
      <c r="C230" s="119" t="s">
        <v>166</v>
      </c>
      <c r="D230" s="119" t="s">
        <v>695</v>
      </c>
      <c r="E230" s="119"/>
    </row>
    <row r="231" spans="1:5" ht="15">
      <c r="A231" s="119"/>
      <c r="B231" s="119"/>
      <c r="C231" s="119" t="s">
        <v>164</v>
      </c>
      <c r="D231" s="119" t="s">
        <v>180</v>
      </c>
      <c r="E231" s="119"/>
    </row>
    <row r="232" spans="1:5" ht="15.75" thickBot="1">
      <c r="A232" s="119"/>
      <c r="B232" s="119"/>
      <c r="C232" s="119" t="s">
        <v>165</v>
      </c>
      <c r="D232" s="119" t="s">
        <v>172</v>
      </c>
      <c r="E232" s="119"/>
    </row>
    <row r="233" spans="1:5" ht="60.75" thickTop="1">
      <c r="A233" s="120" t="s">
        <v>617</v>
      </c>
      <c r="B233" s="84" t="s">
        <v>424</v>
      </c>
      <c r="C233" s="122" t="s">
        <v>615</v>
      </c>
      <c r="D233" s="122" t="s">
        <v>696</v>
      </c>
      <c r="E233" s="83" t="s">
        <v>619</v>
      </c>
    </row>
    <row r="234" spans="1:5" ht="15">
      <c r="C234" s="123" t="s">
        <v>166</v>
      </c>
      <c r="D234" s="123" t="s">
        <v>695</v>
      </c>
    </row>
    <row r="235" spans="1:5" ht="15">
      <c r="C235" s="123" t="s">
        <v>176</v>
      </c>
      <c r="D235" s="123" t="s">
        <v>177</v>
      </c>
    </row>
    <row r="236" spans="1:5" ht="15">
      <c r="C236" s="123" t="s">
        <v>82</v>
      </c>
      <c r="D236" s="123" t="s">
        <v>178</v>
      </c>
    </row>
    <row r="237" spans="1:5" ht="15">
      <c r="C237" s="123" t="s">
        <v>618</v>
      </c>
      <c r="D237" s="123" t="s">
        <v>177</v>
      </c>
    </row>
    <row r="238" spans="1:5" ht="15.75" thickBot="1">
      <c r="C238" s="123" t="s">
        <v>191</v>
      </c>
      <c r="D238" s="123">
        <v>50</v>
      </c>
    </row>
    <row r="239" spans="1:5" ht="45.75" thickTop="1">
      <c r="A239" s="91" t="s">
        <v>620</v>
      </c>
      <c r="B239" s="91" t="s">
        <v>621</v>
      </c>
      <c r="C239" s="118" t="s">
        <v>189</v>
      </c>
      <c r="D239" s="118" t="s">
        <v>178</v>
      </c>
      <c r="E239" s="118" t="s">
        <v>622</v>
      </c>
    </row>
    <row r="240" spans="1:5" ht="15">
      <c r="A240" s="119"/>
      <c r="B240" s="119"/>
      <c r="C240" s="119" t="s">
        <v>225</v>
      </c>
      <c r="D240" s="119" t="s">
        <v>169</v>
      </c>
      <c r="E240" s="119"/>
    </row>
    <row r="241" spans="1:5" ht="15">
      <c r="A241" s="119"/>
      <c r="B241" s="119"/>
      <c r="C241" s="119" t="s">
        <v>164</v>
      </c>
      <c r="D241" s="119" t="s">
        <v>180</v>
      </c>
      <c r="E241" s="119"/>
    </row>
    <row r="242" spans="1:5" ht="15">
      <c r="A242" s="119"/>
      <c r="B242" s="119"/>
      <c r="C242" s="119" t="s">
        <v>165</v>
      </c>
      <c r="D242" s="119" t="s">
        <v>172</v>
      </c>
      <c r="E242" s="119"/>
    </row>
    <row r="243" spans="1:5" ht="15">
      <c r="A243" s="119"/>
      <c r="B243" s="119"/>
      <c r="C243" s="119" t="s">
        <v>166</v>
      </c>
      <c r="D243" s="119" t="s">
        <v>695</v>
      </c>
      <c r="E243" s="119"/>
    </row>
    <row r="244" spans="1:5" ht="15.75" thickBot="1">
      <c r="A244" s="119"/>
      <c r="B244" s="119"/>
      <c r="C244" s="119" t="s">
        <v>182</v>
      </c>
      <c r="D244" s="119" t="s">
        <v>174</v>
      </c>
      <c r="E244" s="119"/>
    </row>
    <row r="245" spans="1:5" ht="45.75" thickTop="1">
      <c r="A245" s="120" t="s">
        <v>623</v>
      </c>
      <c r="B245" s="84" t="s">
        <v>626</v>
      </c>
      <c r="C245" s="122" t="s">
        <v>82</v>
      </c>
      <c r="D245" s="122" t="s">
        <v>178</v>
      </c>
      <c r="E245" s="83" t="s">
        <v>625</v>
      </c>
    </row>
    <row r="246" spans="1:5" ht="15">
      <c r="C246" s="123" t="s">
        <v>191</v>
      </c>
      <c r="D246" s="123" t="s">
        <v>178</v>
      </c>
    </row>
    <row r="247" spans="1:5" ht="15">
      <c r="C247" s="123" t="s">
        <v>588</v>
      </c>
      <c r="D247" s="123" t="s">
        <v>178</v>
      </c>
    </row>
    <row r="248" spans="1:5" ht="15">
      <c r="C248" s="123" t="s">
        <v>602</v>
      </c>
      <c r="D248" s="123" t="s">
        <v>192</v>
      </c>
    </row>
    <row r="249" spans="1:5" ht="15">
      <c r="C249" s="123" t="s">
        <v>624</v>
      </c>
      <c r="D249" s="123" t="s">
        <v>179</v>
      </c>
    </row>
    <row r="250" spans="1:5" ht="15">
      <c r="C250" s="123" t="s">
        <v>164</v>
      </c>
      <c r="D250" s="123" t="s">
        <v>180</v>
      </c>
    </row>
    <row r="251" spans="1:5" ht="15">
      <c r="C251" s="123" t="s">
        <v>167</v>
      </c>
      <c r="D251" s="123" t="s">
        <v>174</v>
      </c>
    </row>
    <row r="252" spans="1:5" ht="15">
      <c r="C252" s="123" t="s">
        <v>514</v>
      </c>
      <c r="D252" s="123" t="s">
        <v>180</v>
      </c>
    </row>
    <row r="253" spans="1:5" ht="15">
      <c r="C253" s="123" t="s">
        <v>165</v>
      </c>
      <c r="D253" s="123" t="s">
        <v>172</v>
      </c>
    </row>
    <row r="254" spans="1:5" ht="15.75" thickBot="1">
      <c r="C254" s="123" t="s">
        <v>182</v>
      </c>
      <c r="D254" s="123" t="s">
        <v>174</v>
      </c>
    </row>
    <row r="255" spans="1:5" ht="60.75" thickTop="1">
      <c r="A255" s="91" t="s">
        <v>627</v>
      </c>
      <c r="B255" s="91" t="s">
        <v>628</v>
      </c>
      <c r="C255" s="118" t="s">
        <v>175</v>
      </c>
      <c r="D255" s="118" t="s">
        <v>177</v>
      </c>
      <c r="E255" s="118" t="s">
        <v>630</v>
      </c>
    </row>
    <row r="256" spans="1:5" ht="15">
      <c r="A256" s="119"/>
      <c r="B256" s="119"/>
      <c r="C256" s="119" t="s">
        <v>166</v>
      </c>
      <c r="D256" s="119" t="s">
        <v>695</v>
      </c>
      <c r="E256" s="119"/>
    </row>
    <row r="257" spans="1:5" ht="15">
      <c r="A257" s="119"/>
      <c r="B257" s="119"/>
      <c r="C257" s="119" t="s">
        <v>164</v>
      </c>
      <c r="D257" s="119" t="s">
        <v>180</v>
      </c>
      <c r="E257" s="119"/>
    </row>
    <row r="258" spans="1:5" ht="15">
      <c r="A258" s="119"/>
      <c r="B258" s="119"/>
      <c r="C258" s="119" t="s">
        <v>165</v>
      </c>
      <c r="D258" s="119" t="s">
        <v>172</v>
      </c>
      <c r="E258" s="119"/>
    </row>
    <row r="259" spans="1:5" ht="15.75" thickBot="1">
      <c r="A259" s="119"/>
      <c r="B259" s="119"/>
      <c r="C259" s="119" t="s">
        <v>629</v>
      </c>
      <c r="D259" s="119" t="s">
        <v>174</v>
      </c>
      <c r="E259" s="119"/>
    </row>
    <row r="260" spans="1:5" ht="45.75" thickTop="1">
      <c r="A260" s="120" t="s">
        <v>631</v>
      </c>
      <c r="B260" s="84" t="s">
        <v>633</v>
      </c>
      <c r="C260" s="122" t="s">
        <v>578</v>
      </c>
      <c r="D260" s="122" t="s">
        <v>171</v>
      </c>
      <c r="E260" s="83" t="s">
        <v>632</v>
      </c>
    </row>
    <row r="261" spans="1:5" ht="15">
      <c r="C261" s="123" t="s">
        <v>166</v>
      </c>
      <c r="D261" s="123" t="s">
        <v>695</v>
      </c>
    </row>
    <row r="262" spans="1:5" ht="15">
      <c r="C262" s="123" t="s">
        <v>164</v>
      </c>
      <c r="D262" s="123" t="s">
        <v>180</v>
      </c>
    </row>
    <row r="263" spans="1:5" ht="15">
      <c r="C263" s="123" t="s">
        <v>167</v>
      </c>
      <c r="D263" s="123" t="s">
        <v>174</v>
      </c>
    </row>
    <row r="264" spans="1:5" ht="15">
      <c r="C264" s="123" t="s">
        <v>165</v>
      </c>
      <c r="D264" s="123" t="s">
        <v>172</v>
      </c>
    </row>
    <row r="265" spans="1:5" ht="15.75" thickBot="1">
      <c r="C265" s="123" t="s">
        <v>618</v>
      </c>
      <c r="D265" s="123" t="s">
        <v>177</v>
      </c>
    </row>
    <row r="266" spans="1:5" ht="15.75" thickTop="1">
      <c r="A266" s="91" t="s">
        <v>634</v>
      </c>
      <c r="B266" s="91" t="s">
        <v>636</v>
      </c>
      <c r="C266" s="118" t="s">
        <v>164</v>
      </c>
      <c r="D266" s="118" t="s">
        <v>180</v>
      </c>
      <c r="E266" s="118" t="s">
        <v>635</v>
      </c>
    </row>
    <row r="267" spans="1:5" ht="15">
      <c r="A267" s="119"/>
      <c r="B267" s="119"/>
      <c r="C267" s="119" t="s">
        <v>167</v>
      </c>
      <c r="D267" s="119" t="s">
        <v>174</v>
      </c>
      <c r="E267" s="119"/>
    </row>
    <row r="268" spans="1:5" ht="15">
      <c r="A268" s="119"/>
      <c r="B268" s="119"/>
      <c r="C268" s="119" t="s">
        <v>165</v>
      </c>
      <c r="D268" s="119" t="s">
        <v>172</v>
      </c>
      <c r="E268" s="119"/>
    </row>
    <row r="269" spans="1:5" ht="15.75" thickBot="1">
      <c r="A269" s="119"/>
      <c r="B269" s="119"/>
      <c r="C269" s="119" t="s">
        <v>189</v>
      </c>
      <c r="D269" s="119" t="s">
        <v>178</v>
      </c>
      <c r="E269" s="119"/>
    </row>
    <row r="270" spans="1:5" ht="30.75" thickTop="1">
      <c r="A270" s="120" t="s">
        <v>637</v>
      </c>
      <c r="B270" s="84" t="s">
        <v>638</v>
      </c>
      <c r="C270" s="122" t="s">
        <v>164</v>
      </c>
      <c r="D270" s="122" t="s">
        <v>180</v>
      </c>
      <c r="E270" s="83" t="s">
        <v>639</v>
      </c>
    </row>
    <row r="271" spans="1:5" ht="15">
      <c r="C271" s="123" t="s">
        <v>167</v>
      </c>
      <c r="D271" s="123" t="s">
        <v>174</v>
      </c>
    </row>
    <row r="272" spans="1:5" ht="15">
      <c r="C272" s="123" t="s">
        <v>165</v>
      </c>
      <c r="D272" s="123" t="s">
        <v>509</v>
      </c>
    </row>
    <row r="273" spans="1:5" ht="15">
      <c r="C273" s="123" t="s">
        <v>618</v>
      </c>
      <c r="D273" s="123" t="s">
        <v>177</v>
      </c>
    </row>
    <row r="274" spans="1:5" ht="15">
      <c r="C274" s="123" t="s">
        <v>82</v>
      </c>
      <c r="D274" s="123" t="s">
        <v>178</v>
      </c>
    </row>
    <row r="275" spans="1:5" ht="15.75" thickBot="1">
      <c r="C275" s="123" t="s">
        <v>166</v>
      </c>
      <c r="D275" s="123" t="s">
        <v>695</v>
      </c>
    </row>
    <row r="276" spans="1:5" ht="30.75" thickTop="1">
      <c r="A276" s="91" t="s">
        <v>640</v>
      </c>
      <c r="B276" s="91" t="s">
        <v>641</v>
      </c>
      <c r="C276" s="118" t="s">
        <v>164</v>
      </c>
      <c r="D276" s="118" t="s">
        <v>180</v>
      </c>
      <c r="E276" s="118" t="s">
        <v>642</v>
      </c>
    </row>
    <row r="277" spans="1:5" ht="15">
      <c r="A277" s="119"/>
      <c r="B277" s="119"/>
      <c r="C277" s="119" t="s">
        <v>167</v>
      </c>
      <c r="D277" s="119" t="s">
        <v>174</v>
      </c>
      <c r="E277" s="119"/>
    </row>
    <row r="278" spans="1:5" ht="15">
      <c r="A278" s="119"/>
      <c r="B278" s="119"/>
      <c r="C278" s="119" t="s">
        <v>165</v>
      </c>
      <c r="D278" s="119" t="s">
        <v>172</v>
      </c>
      <c r="E278" s="119"/>
    </row>
    <row r="279" spans="1:5" ht="15">
      <c r="A279" s="119"/>
      <c r="B279" s="119"/>
      <c r="C279" s="119" t="s">
        <v>189</v>
      </c>
      <c r="D279" s="119" t="s">
        <v>178</v>
      </c>
      <c r="E279" s="119"/>
    </row>
    <row r="280" spans="1:5" ht="15.75" thickBot="1">
      <c r="A280" s="119"/>
      <c r="B280" s="119"/>
      <c r="C280" s="119" t="s">
        <v>514</v>
      </c>
      <c r="D280" s="119" t="s">
        <v>180</v>
      </c>
      <c r="E280" s="119"/>
    </row>
    <row r="281" spans="1:5" ht="45.75" thickTop="1">
      <c r="A281" s="120" t="s">
        <v>643</v>
      </c>
      <c r="B281" s="84" t="s">
        <v>644</v>
      </c>
      <c r="C281" s="122" t="s">
        <v>164</v>
      </c>
      <c r="D281" s="122" t="s">
        <v>180</v>
      </c>
      <c r="E281" s="83" t="s">
        <v>645</v>
      </c>
    </row>
    <row r="282" spans="1:5" ht="15">
      <c r="C282" s="123" t="s">
        <v>167</v>
      </c>
      <c r="D282" s="123" t="s">
        <v>174</v>
      </c>
    </row>
    <row r="283" spans="1:5" ht="15">
      <c r="C283" s="123" t="s">
        <v>165</v>
      </c>
      <c r="D283" s="123" t="s">
        <v>172</v>
      </c>
    </row>
    <row r="284" spans="1:5" ht="15">
      <c r="C284" s="123" t="s">
        <v>189</v>
      </c>
      <c r="D284" s="123" t="s">
        <v>178</v>
      </c>
    </row>
    <row r="285" spans="1:5" ht="15">
      <c r="C285" s="123" t="s">
        <v>514</v>
      </c>
      <c r="D285" s="123" t="s">
        <v>180</v>
      </c>
    </row>
    <row r="286" spans="1:5" ht="15.75" thickBot="1">
      <c r="C286" s="123" t="s">
        <v>140</v>
      </c>
      <c r="D286" s="123" t="s">
        <v>192</v>
      </c>
    </row>
    <row r="287" spans="1:5" ht="45.75" thickTop="1">
      <c r="A287" s="91" t="s">
        <v>646</v>
      </c>
      <c r="B287" s="91" t="s">
        <v>647</v>
      </c>
      <c r="C287" s="118" t="s">
        <v>140</v>
      </c>
      <c r="D287" s="118" t="s">
        <v>192</v>
      </c>
      <c r="E287" s="118" t="s">
        <v>648</v>
      </c>
    </row>
    <row r="288" spans="1:5" ht="15">
      <c r="A288" s="119"/>
      <c r="B288" s="119"/>
      <c r="C288" s="119" t="s">
        <v>166</v>
      </c>
      <c r="D288" s="119" t="s">
        <v>695</v>
      </c>
      <c r="E288" s="119"/>
    </row>
    <row r="289" spans="1:5" ht="15">
      <c r="A289" s="119"/>
      <c r="B289" s="119"/>
      <c r="C289" s="119" t="s">
        <v>164</v>
      </c>
      <c r="D289" s="119" t="s">
        <v>180</v>
      </c>
      <c r="E289" s="119"/>
    </row>
    <row r="290" spans="1:5" ht="15">
      <c r="A290" s="119"/>
      <c r="B290" s="119"/>
      <c r="C290" s="119" t="s">
        <v>165</v>
      </c>
      <c r="D290" s="119" t="s">
        <v>172</v>
      </c>
      <c r="E290" s="119"/>
    </row>
    <row r="291" spans="1:5" ht="15">
      <c r="A291" s="119"/>
      <c r="B291" s="119"/>
      <c r="C291" s="119" t="s">
        <v>82</v>
      </c>
      <c r="D291" s="119" t="s">
        <v>178</v>
      </c>
      <c r="E291" s="119"/>
    </row>
    <row r="292" spans="1:5" ht="15.75" thickBot="1">
      <c r="A292" s="119"/>
      <c r="B292" s="119"/>
      <c r="C292" s="119" t="s">
        <v>588</v>
      </c>
      <c r="D292" s="119" t="s">
        <v>178</v>
      </c>
      <c r="E292" s="119"/>
    </row>
    <row r="293" spans="1:5" ht="105.75" thickTop="1">
      <c r="A293" s="120" t="s">
        <v>649</v>
      </c>
      <c r="B293" s="84" t="s">
        <v>393</v>
      </c>
      <c r="C293" s="122" t="s">
        <v>183</v>
      </c>
      <c r="D293" s="122" t="s">
        <v>184</v>
      </c>
      <c r="E293" s="83" t="s">
        <v>650</v>
      </c>
    </row>
    <row r="294" spans="1:5" ht="30">
      <c r="C294" s="90" t="s">
        <v>204</v>
      </c>
      <c r="D294" s="123" t="s">
        <v>280</v>
      </c>
      <c r="E294" s="88"/>
    </row>
    <row r="295" spans="1:5" ht="15">
      <c r="C295" s="123" t="s">
        <v>166</v>
      </c>
      <c r="D295" s="123" t="s">
        <v>695</v>
      </c>
    </row>
    <row r="296" spans="1:5" ht="15">
      <c r="C296" s="123" t="s">
        <v>578</v>
      </c>
      <c r="D296" s="123" t="s">
        <v>171</v>
      </c>
    </row>
    <row r="297" spans="1:5" ht="15">
      <c r="C297" s="123" t="s">
        <v>588</v>
      </c>
      <c r="D297" s="123" t="s">
        <v>178</v>
      </c>
    </row>
    <row r="298" spans="1:5" ht="15.75" thickBot="1">
      <c r="C298" s="123" t="s">
        <v>82</v>
      </c>
      <c r="D298" s="123" t="s">
        <v>178</v>
      </c>
    </row>
    <row r="299" spans="1:5" ht="30.75" thickTop="1">
      <c r="A299" s="91" t="s">
        <v>651</v>
      </c>
      <c r="B299" s="91" t="s">
        <v>398</v>
      </c>
      <c r="C299" s="118" t="s">
        <v>183</v>
      </c>
      <c r="D299" s="118" t="s">
        <v>184</v>
      </c>
      <c r="E299" s="118" t="s">
        <v>652</v>
      </c>
    </row>
    <row r="300" spans="1:5" ht="15">
      <c r="A300" s="119"/>
      <c r="B300" s="119"/>
      <c r="C300" s="119" t="s">
        <v>78</v>
      </c>
      <c r="D300" s="119" t="s">
        <v>192</v>
      </c>
      <c r="E300" s="119"/>
    </row>
    <row r="301" spans="1:5" ht="15">
      <c r="A301" s="119"/>
      <c r="B301" s="119"/>
      <c r="C301" s="119" t="s">
        <v>82</v>
      </c>
      <c r="D301" s="119" t="s">
        <v>178</v>
      </c>
      <c r="E301" s="119"/>
    </row>
    <row r="302" spans="1:5" ht="26.25" customHeight="1" thickBot="1">
      <c r="A302" s="119"/>
      <c r="B302" s="119"/>
      <c r="C302" s="119" t="s">
        <v>166</v>
      </c>
      <c r="D302" s="119" t="s">
        <v>695</v>
      </c>
      <c r="E302" s="119"/>
    </row>
    <row r="303" spans="1:5" ht="60.75" thickTop="1">
      <c r="A303" s="120" t="s">
        <v>653</v>
      </c>
      <c r="B303" s="84" t="s">
        <v>399</v>
      </c>
      <c r="C303" s="122" t="s">
        <v>654</v>
      </c>
      <c r="D303" s="122" t="s">
        <v>192</v>
      </c>
      <c r="E303" s="83" t="s">
        <v>655</v>
      </c>
    </row>
    <row r="304" spans="1:5" ht="15">
      <c r="C304" s="123" t="s">
        <v>166</v>
      </c>
      <c r="D304" s="123" t="s">
        <v>695</v>
      </c>
    </row>
    <row r="305" spans="1:5" ht="15">
      <c r="C305" s="123" t="s">
        <v>608</v>
      </c>
      <c r="D305" s="123" t="s">
        <v>178</v>
      </c>
    </row>
    <row r="306" spans="1:5" ht="15">
      <c r="C306" s="123" t="s">
        <v>164</v>
      </c>
      <c r="D306" s="123" t="s">
        <v>180</v>
      </c>
    </row>
    <row r="307" spans="1:5" ht="15">
      <c r="C307" s="123" t="s">
        <v>167</v>
      </c>
      <c r="D307" s="123" t="s">
        <v>174</v>
      </c>
    </row>
    <row r="308" spans="1:5" ht="15">
      <c r="C308" s="123" t="s">
        <v>514</v>
      </c>
      <c r="D308" s="123" t="s">
        <v>180</v>
      </c>
    </row>
    <row r="309" spans="1:5" ht="15">
      <c r="C309" s="123" t="s">
        <v>165</v>
      </c>
      <c r="D309" s="123" t="s">
        <v>172</v>
      </c>
    </row>
    <row r="310" spans="1:5" ht="15.75" thickBot="1">
      <c r="C310" s="123" t="s">
        <v>82</v>
      </c>
      <c r="D310" s="123" t="s">
        <v>178</v>
      </c>
    </row>
    <row r="311" spans="1:5" ht="30.75" thickTop="1">
      <c r="A311" s="91" t="s">
        <v>656</v>
      </c>
      <c r="B311" s="91" t="s">
        <v>657</v>
      </c>
      <c r="C311" s="118" t="s">
        <v>164</v>
      </c>
      <c r="D311" s="118" t="s">
        <v>180</v>
      </c>
      <c r="E311" s="118" t="s">
        <v>658</v>
      </c>
    </row>
    <row r="312" spans="1:5" ht="15">
      <c r="A312" s="119"/>
      <c r="B312" s="119"/>
      <c r="C312" s="119" t="s">
        <v>167</v>
      </c>
      <c r="D312" s="119" t="s">
        <v>174</v>
      </c>
      <c r="E312" s="119"/>
    </row>
    <row r="313" spans="1:5" ht="15">
      <c r="A313" s="119"/>
      <c r="B313" s="119"/>
      <c r="C313" s="119" t="s">
        <v>514</v>
      </c>
      <c r="D313" s="119" t="s">
        <v>180</v>
      </c>
      <c r="E313" s="119"/>
    </row>
    <row r="314" spans="1:5" ht="15">
      <c r="A314" s="119"/>
      <c r="B314" s="119"/>
      <c r="C314" s="119" t="s">
        <v>165</v>
      </c>
      <c r="D314" s="119" t="s">
        <v>172</v>
      </c>
      <c r="E314" s="119"/>
    </row>
    <row r="315" spans="1:5" ht="15">
      <c r="A315" s="119"/>
      <c r="B315" s="119"/>
      <c r="C315" s="119" t="s">
        <v>82</v>
      </c>
      <c r="D315" s="119" t="s">
        <v>178</v>
      </c>
      <c r="E315" s="119"/>
    </row>
    <row r="316" spans="1:5" ht="15">
      <c r="A316" s="119"/>
      <c r="B316" s="119"/>
      <c r="C316" s="119" t="s">
        <v>191</v>
      </c>
      <c r="D316" s="119" t="s">
        <v>178</v>
      </c>
      <c r="E316" s="119"/>
    </row>
    <row r="317" spans="1:5" ht="15.75" thickBot="1">
      <c r="A317" s="119"/>
      <c r="B317" s="119"/>
      <c r="C317" s="119" t="s">
        <v>181</v>
      </c>
      <c r="D317" s="119" t="s">
        <v>174</v>
      </c>
      <c r="E317" s="119"/>
    </row>
    <row r="318" spans="1:5" ht="60.75" thickTop="1">
      <c r="A318" s="120" t="s">
        <v>659</v>
      </c>
      <c r="B318" s="84" t="s">
        <v>402</v>
      </c>
      <c r="C318" s="122" t="s">
        <v>175</v>
      </c>
      <c r="D318" s="122" t="s">
        <v>177</v>
      </c>
      <c r="E318" s="83" t="s">
        <v>660</v>
      </c>
    </row>
    <row r="319" spans="1:5" ht="15">
      <c r="A319" s="123"/>
      <c r="B319" s="123"/>
      <c r="C319" s="123" t="s">
        <v>183</v>
      </c>
      <c r="D319" s="123" t="s">
        <v>184</v>
      </c>
      <c r="E319" s="123"/>
    </row>
    <row r="320" spans="1:5" ht="15">
      <c r="A320" s="123"/>
      <c r="B320" s="123"/>
      <c r="C320" s="123" t="s">
        <v>52</v>
      </c>
      <c r="D320" s="123" t="s">
        <v>177</v>
      </c>
      <c r="E320" s="123"/>
    </row>
    <row r="321" spans="1:5" ht="15">
      <c r="A321" s="123"/>
      <c r="B321" s="123"/>
      <c r="C321" s="123" t="s">
        <v>82</v>
      </c>
      <c r="D321" s="123" t="s">
        <v>178</v>
      </c>
      <c r="E321" s="123"/>
    </row>
    <row r="322" spans="1:5" ht="15.75" thickBot="1">
      <c r="A322" s="123"/>
      <c r="B322" s="123"/>
      <c r="C322" s="123" t="s">
        <v>166</v>
      </c>
      <c r="D322" s="123" t="s">
        <v>695</v>
      </c>
      <c r="E322" s="123"/>
    </row>
    <row r="323" spans="1:5" ht="45.75" thickTop="1">
      <c r="A323" s="91" t="s">
        <v>661</v>
      </c>
      <c r="B323" s="91" t="s">
        <v>462</v>
      </c>
      <c r="C323" s="118" t="s">
        <v>580</v>
      </c>
      <c r="D323" s="118" t="s">
        <v>192</v>
      </c>
      <c r="E323" s="118" t="s">
        <v>662</v>
      </c>
    </row>
    <row r="324" spans="1:5" ht="15">
      <c r="A324" s="119"/>
      <c r="B324" s="119"/>
      <c r="C324" s="119" t="s">
        <v>183</v>
      </c>
      <c r="D324" s="119" t="s">
        <v>184</v>
      </c>
      <c r="E324" s="119"/>
    </row>
    <row r="325" spans="1:5" ht="15">
      <c r="A325" s="119"/>
      <c r="B325" s="119"/>
      <c r="C325" s="119" t="s">
        <v>82</v>
      </c>
      <c r="D325" s="119" t="s">
        <v>178</v>
      </c>
      <c r="E325" s="119"/>
    </row>
    <row r="326" spans="1:5" ht="15">
      <c r="A326" s="119"/>
      <c r="B326" s="119"/>
      <c r="C326" s="119" t="s">
        <v>78</v>
      </c>
      <c r="D326" s="119" t="s">
        <v>192</v>
      </c>
      <c r="E326" s="119"/>
    </row>
    <row r="327" spans="1:5" ht="15.75" thickBot="1">
      <c r="A327" s="119"/>
      <c r="B327" s="119"/>
      <c r="C327" s="119" t="s">
        <v>166</v>
      </c>
      <c r="D327" s="119" t="s">
        <v>695</v>
      </c>
      <c r="E327" s="119"/>
    </row>
    <row r="328" spans="1:5" ht="60.75" thickTop="1">
      <c r="A328" s="120" t="s">
        <v>664</v>
      </c>
      <c r="B328" s="84" t="s">
        <v>663</v>
      </c>
      <c r="C328" s="122" t="s">
        <v>615</v>
      </c>
      <c r="D328" s="122" t="s">
        <v>696</v>
      </c>
      <c r="E328" s="83" t="s">
        <v>665</v>
      </c>
    </row>
    <row r="329" spans="1:5" ht="15">
      <c r="C329" s="123" t="s">
        <v>166</v>
      </c>
      <c r="D329" s="123" t="s">
        <v>695</v>
      </c>
      <c r="E329" s="123"/>
    </row>
    <row r="330" spans="1:5" ht="15">
      <c r="C330" s="123" t="s">
        <v>164</v>
      </c>
      <c r="D330" s="123" t="s">
        <v>180</v>
      </c>
      <c r="E330" s="123"/>
    </row>
    <row r="331" spans="1:5" ht="15">
      <c r="C331" s="123" t="s">
        <v>514</v>
      </c>
      <c r="D331" s="123" t="s">
        <v>180</v>
      </c>
      <c r="E331" s="123"/>
    </row>
    <row r="332" spans="1:5" ht="15">
      <c r="C332" s="123" t="s">
        <v>167</v>
      </c>
      <c r="D332" s="123" t="s">
        <v>174</v>
      </c>
      <c r="E332" s="123"/>
    </row>
    <row r="333" spans="1:5" ht="15">
      <c r="C333" s="123" t="s">
        <v>165</v>
      </c>
      <c r="D333" s="123" t="s">
        <v>172</v>
      </c>
      <c r="E333" s="123"/>
    </row>
    <row r="334" spans="1:5" ht="15">
      <c r="C334" s="123" t="s">
        <v>225</v>
      </c>
      <c r="D334" s="123" t="s">
        <v>169</v>
      </c>
      <c r="E334" s="123"/>
    </row>
    <row r="335" spans="1:5" ht="15">
      <c r="C335" s="123" t="s">
        <v>82</v>
      </c>
      <c r="D335" s="123" t="s">
        <v>178</v>
      </c>
      <c r="E335" s="123"/>
    </row>
    <row r="336" spans="1:5" ht="15.75" thickBot="1">
      <c r="C336" s="123" t="s">
        <v>52</v>
      </c>
      <c r="D336" s="123" t="s">
        <v>177</v>
      </c>
      <c r="E336" s="123"/>
    </row>
    <row r="337" spans="1:5" ht="45.75" thickTop="1">
      <c r="A337" s="91" t="s">
        <v>666</v>
      </c>
      <c r="B337" s="91" t="s">
        <v>462</v>
      </c>
      <c r="C337" s="118" t="s">
        <v>580</v>
      </c>
      <c r="D337" s="118" t="s">
        <v>192</v>
      </c>
      <c r="E337" s="118" t="s">
        <v>662</v>
      </c>
    </row>
    <row r="338" spans="1:5" ht="15">
      <c r="A338" s="119"/>
      <c r="B338" s="119"/>
      <c r="C338" s="119" t="s">
        <v>166</v>
      </c>
      <c r="D338" s="119" t="s">
        <v>695</v>
      </c>
      <c r="E338" s="119"/>
    </row>
    <row r="339" spans="1:5" ht="15">
      <c r="A339" s="119"/>
      <c r="B339" s="119"/>
      <c r="C339" s="119" t="s">
        <v>164</v>
      </c>
      <c r="D339" s="119" t="s">
        <v>180</v>
      </c>
      <c r="E339" s="119"/>
    </row>
    <row r="340" spans="1:5" ht="15">
      <c r="A340" s="119"/>
      <c r="B340" s="119"/>
      <c r="C340" s="119" t="s">
        <v>167</v>
      </c>
      <c r="D340" s="119" t="s">
        <v>174</v>
      </c>
      <c r="E340" s="119"/>
    </row>
    <row r="341" spans="1:5" ht="15">
      <c r="A341" s="119"/>
      <c r="B341" s="119"/>
      <c r="C341" s="119" t="s">
        <v>165</v>
      </c>
      <c r="D341" s="119" t="s">
        <v>172</v>
      </c>
      <c r="E341" s="119"/>
    </row>
    <row r="342" spans="1:5" ht="15">
      <c r="A342" s="119"/>
      <c r="B342" s="119"/>
      <c r="C342" s="119" t="s">
        <v>189</v>
      </c>
      <c r="D342" s="119" t="s">
        <v>178</v>
      </c>
      <c r="E342" s="119"/>
    </row>
    <row r="343" spans="1:5" ht="15">
      <c r="A343" s="119"/>
      <c r="B343" s="119"/>
      <c r="C343" s="119" t="s">
        <v>82</v>
      </c>
      <c r="D343" s="119" t="s">
        <v>178</v>
      </c>
      <c r="E343" s="119"/>
    </row>
    <row r="344" spans="1:5" ht="15">
      <c r="A344" s="119"/>
      <c r="B344" s="119"/>
      <c r="C344" s="119"/>
      <c r="D344" s="119"/>
      <c r="E344" s="119"/>
    </row>
    <row r="345" spans="1:5" ht="15.75" thickBot="1">
      <c r="A345" s="119"/>
      <c r="B345" s="119"/>
      <c r="C345" s="119" t="s">
        <v>191</v>
      </c>
      <c r="D345" s="119" t="s">
        <v>178</v>
      </c>
      <c r="E345" s="119"/>
    </row>
    <row r="346" spans="1:5" ht="60.75" thickTop="1">
      <c r="A346" s="120" t="s">
        <v>668</v>
      </c>
      <c r="B346" s="84" t="s">
        <v>405</v>
      </c>
      <c r="C346" s="122" t="s">
        <v>175</v>
      </c>
      <c r="D346" s="122" t="s">
        <v>177</v>
      </c>
      <c r="E346" s="83" t="s">
        <v>669</v>
      </c>
    </row>
    <row r="347" spans="1:5" ht="15">
      <c r="C347" s="123" t="s">
        <v>166</v>
      </c>
      <c r="D347" s="123" t="s">
        <v>695</v>
      </c>
    </row>
    <row r="348" spans="1:5" ht="15">
      <c r="C348" s="123" t="s">
        <v>183</v>
      </c>
      <c r="D348" s="123" t="s">
        <v>184</v>
      </c>
    </row>
    <row r="349" spans="1:5" ht="15">
      <c r="C349" s="123" t="s">
        <v>82</v>
      </c>
      <c r="D349" s="123" t="s">
        <v>178</v>
      </c>
    </row>
    <row r="350" spans="1:5" ht="15.75" thickBot="1">
      <c r="C350" s="123" t="s">
        <v>191</v>
      </c>
      <c r="D350" s="123" t="s">
        <v>178</v>
      </c>
    </row>
    <row r="351" spans="1:5" ht="75.75" thickTop="1">
      <c r="A351" s="91" t="s">
        <v>670</v>
      </c>
      <c r="B351" s="91" t="s">
        <v>406</v>
      </c>
      <c r="C351" s="118" t="s">
        <v>167</v>
      </c>
      <c r="D351" s="118" t="s">
        <v>174</v>
      </c>
      <c r="E351" s="118" t="s">
        <v>671</v>
      </c>
    </row>
    <row r="352" spans="1:5" ht="15">
      <c r="A352" s="119"/>
      <c r="B352" s="119"/>
      <c r="C352" s="119" t="s">
        <v>164</v>
      </c>
      <c r="D352" s="119" t="s">
        <v>180</v>
      </c>
      <c r="E352" s="119"/>
    </row>
    <row r="353" spans="1:5" ht="15">
      <c r="A353" s="119"/>
      <c r="B353" s="119"/>
      <c r="C353" s="119" t="s">
        <v>165</v>
      </c>
      <c r="D353" s="119" t="s">
        <v>172</v>
      </c>
      <c r="E353" s="119"/>
    </row>
    <row r="354" spans="1:5" ht="15">
      <c r="A354" s="119"/>
      <c r="B354" s="119"/>
      <c r="C354" s="119" t="s">
        <v>187</v>
      </c>
      <c r="D354" s="119" t="s">
        <v>177</v>
      </c>
      <c r="E354" s="119"/>
    </row>
    <row r="355" spans="1:5" ht="15">
      <c r="A355" s="119"/>
      <c r="B355" s="119"/>
      <c r="C355" s="119" t="s">
        <v>580</v>
      </c>
      <c r="D355" s="119" t="s">
        <v>179</v>
      </c>
      <c r="E355" s="119"/>
    </row>
    <row r="356" spans="1:5" ht="15">
      <c r="A356" s="119"/>
      <c r="B356" s="119"/>
      <c r="C356" s="119" t="s">
        <v>82</v>
      </c>
      <c r="D356" s="119" t="s">
        <v>193</v>
      </c>
      <c r="E356" s="119"/>
    </row>
    <row r="357" spans="1:5" ht="15">
      <c r="A357" s="119"/>
      <c r="B357" s="119"/>
      <c r="C357" s="119" t="s">
        <v>191</v>
      </c>
      <c r="D357" s="119" t="s">
        <v>193</v>
      </c>
      <c r="E357" s="119"/>
    </row>
    <row r="358" spans="1:5" ht="15.75" thickBot="1">
      <c r="A358" s="119"/>
      <c r="B358" s="119"/>
      <c r="C358" s="119" t="s">
        <v>588</v>
      </c>
      <c r="D358" s="119" t="s">
        <v>178</v>
      </c>
      <c r="E358" s="119"/>
    </row>
    <row r="359" spans="1:5" ht="60.75" thickTop="1">
      <c r="A359" s="120" t="s">
        <v>672</v>
      </c>
      <c r="B359" s="84" t="s">
        <v>673</v>
      </c>
      <c r="C359" s="122" t="s">
        <v>175</v>
      </c>
      <c r="D359" s="122" t="s">
        <v>177</v>
      </c>
      <c r="E359" s="83" t="s">
        <v>675</v>
      </c>
    </row>
    <row r="360" spans="1:5" ht="15">
      <c r="C360" s="123" t="s">
        <v>166</v>
      </c>
      <c r="D360" s="123" t="s">
        <v>695</v>
      </c>
      <c r="E360" s="88"/>
    </row>
    <row r="361" spans="1:5" ht="15">
      <c r="C361" s="123" t="s">
        <v>164</v>
      </c>
      <c r="D361" s="123" t="s">
        <v>180</v>
      </c>
    </row>
    <row r="362" spans="1:5" ht="15">
      <c r="C362" s="123" t="s">
        <v>167</v>
      </c>
      <c r="D362" s="123" t="s">
        <v>174</v>
      </c>
    </row>
    <row r="363" spans="1:5" ht="15">
      <c r="C363" s="123" t="s">
        <v>165</v>
      </c>
      <c r="D363" s="123" t="s">
        <v>172</v>
      </c>
    </row>
    <row r="364" spans="1:5" ht="15">
      <c r="C364" s="123" t="s">
        <v>618</v>
      </c>
      <c r="D364" s="123" t="s">
        <v>177</v>
      </c>
    </row>
    <row r="365" spans="1:5" ht="15.75" thickBot="1">
      <c r="C365" s="123" t="s">
        <v>674</v>
      </c>
      <c r="D365" s="123" t="s">
        <v>174</v>
      </c>
    </row>
    <row r="366" spans="1:5" ht="45.75" thickTop="1">
      <c r="A366" s="91" t="s">
        <v>676</v>
      </c>
      <c r="B366" s="91" t="s">
        <v>680</v>
      </c>
      <c r="C366" s="118" t="s">
        <v>677</v>
      </c>
      <c r="D366" s="118" t="s">
        <v>177</v>
      </c>
      <c r="E366" s="118" t="s">
        <v>679</v>
      </c>
    </row>
    <row r="367" spans="1:5" ht="15">
      <c r="A367" s="119"/>
      <c r="B367" s="119"/>
      <c r="C367" s="119" t="s">
        <v>166</v>
      </c>
      <c r="D367" s="119" t="s">
        <v>695</v>
      </c>
      <c r="E367" s="119"/>
    </row>
    <row r="368" spans="1:5" ht="15">
      <c r="A368" s="119"/>
      <c r="B368" s="119"/>
      <c r="C368" s="119" t="s">
        <v>164</v>
      </c>
      <c r="D368" s="119" t="s">
        <v>180</v>
      </c>
      <c r="E368" s="119"/>
    </row>
    <row r="369" spans="1:5" ht="15">
      <c r="A369" s="119"/>
      <c r="B369" s="119"/>
      <c r="C369" s="119" t="s">
        <v>167</v>
      </c>
      <c r="D369" s="119" t="s">
        <v>174</v>
      </c>
      <c r="E369" s="119"/>
    </row>
    <row r="370" spans="1:5" ht="15">
      <c r="A370" s="119"/>
      <c r="B370" s="119"/>
      <c r="C370" s="119" t="s">
        <v>514</v>
      </c>
      <c r="D370" s="119" t="s">
        <v>180</v>
      </c>
      <c r="E370" s="119"/>
    </row>
    <row r="371" spans="1:5" ht="15">
      <c r="A371" s="119"/>
      <c r="B371" s="119"/>
      <c r="C371" s="119" t="s">
        <v>165</v>
      </c>
      <c r="D371" s="119" t="s">
        <v>172</v>
      </c>
      <c r="E371" s="119"/>
    </row>
    <row r="372" spans="1:5" ht="15">
      <c r="A372" s="119"/>
      <c r="B372" s="119"/>
      <c r="C372" s="119" t="s">
        <v>82</v>
      </c>
      <c r="D372" s="119" t="s">
        <v>178</v>
      </c>
      <c r="E372" s="119"/>
    </row>
    <row r="373" spans="1:5" ht="15">
      <c r="A373" s="119"/>
      <c r="B373" s="119"/>
      <c r="C373" s="119" t="s">
        <v>678</v>
      </c>
      <c r="D373" s="119" t="s">
        <v>178</v>
      </c>
      <c r="E373" s="119"/>
    </row>
    <row r="374" spans="1:5" ht="15">
      <c r="A374" s="119"/>
      <c r="B374" s="119"/>
      <c r="C374" s="119" t="s">
        <v>588</v>
      </c>
      <c r="D374" s="119" t="s">
        <v>178</v>
      </c>
      <c r="E374" s="119"/>
    </row>
    <row r="375" spans="1:5" ht="15">
      <c r="A375" s="119"/>
      <c r="B375" s="119"/>
      <c r="C375" s="119" t="s">
        <v>602</v>
      </c>
      <c r="D375" s="119" t="s">
        <v>192</v>
      </c>
      <c r="E375" s="119"/>
    </row>
    <row r="376" spans="1:5" ht="15.75" thickBot="1">
      <c r="A376" s="119"/>
      <c r="B376" s="119"/>
      <c r="C376" s="119" t="s">
        <v>624</v>
      </c>
      <c r="D376" s="119" t="s">
        <v>179</v>
      </c>
      <c r="E376" s="119"/>
    </row>
    <row r="377" spans="1:5" ht="45.75" thickTop="1">
      <c r="A377" s="120" t="s">
        <v>681</v>
      </c>
      <c r="B377" s="84" t="s">
        <v>682</v>
      </c>
      <c r="C377" s="122" t="s">
        <v>677</v>
      </c>
      <c r="D377" s="122" t="s">
        <v>177</v>
      </c>
      <c r="E377" s="83" t="s">
        <v>679</v>
      </c>
    </row>
    <row r="378" spans="1:5" ht="15">
      <c r="C378" s="123" t="s">
        <v>166</v>
      </c>
      <c r="D378" s="123" t="s">
        <v>695</v>
      </c>
    </row>
    <row r="379" spans="1:5" ht="15">
      <c r="C379" s="123" t="s">
        <v>164</v>
      </c>
      <c r="D379" s="123" t="s">
        <v>180</v>
      </c>
    </row>
    <row r="380" spans="1:5" ht="15">
      <c r="C380" s="123" t="s">
        <v>167</v>
      </c>
      <c r="D380" s="123" t="s">
        <v>174</v>
      </c>
    </row>
    <row r="381" spans="1:5" ht="15">
      <c r="C381" s="123" t="s">
        <v>514</v>
      </c>
      <c r="D381" s="123" t="s">
        <v>180</v>
      </c>
    </row>
    <row r="382" spans="1:5" ht="15">
      <c r="C382" s="123" t="s">
        <v>165</v>
      </c>
      <c r="D382" s="123" t="s">
        <v>172</v>
      </c>
    </row>
    <row r="383" spans="1:5" ht="15">
      <c r="C383" s="123" t="s">
        <v>82</v>
      </c>
      <c r="D383" s="123" t="s">
        <v>178</v>
      </c>
    </row>
    <row r="384" spans="1:5" ht="15">
      <c r="C384" s="123" t="s">
        <v>683</v>
      </c>
      <c r="D384" s="123" t="s">
        <v>179</v>
      </c>
    </row>
    <row r="385" spans="1:5" ht="15.75" thickBot="1">
      <c r="C385" s="123" t="s">
        <v>225</v>
      </c>
      <c r="D385" s="123" t="s">
        <v>169</v>
      </c>
    </row>
    <row r="386" spans="1:5" ht="45.75" thickTop="1">
      <c r="A386" s="91" t="s">
        <v>684</v>
      </c>
      <c r="B386" s="91" t="s">
        <v>687</v>
      </c>
      <c r="C386" s="118" t="s">
        <v>578</v>
      </c>
      <c r="D386" s="118" t="s">
        <v>171</v>
      </c>
      <c r="E386" s="118" t="s">
        <v>686</v>
      </c>
    </row>
    <row r="387" spans="1:5" ht="15">
      <c r="A387" s="96"/>
      <c r="B387" s="96"/>
      <c r="C387" s="119" t="s">
        <v>166</v>
      </c>
      <c r="D387" s="119" t="s">
        <v>695</v>
      </c>
      <c r="E387" s="119"/>
    </row>
    <row r="388" spans="1:5" ht="15">
      <c r="A388" s="96"/>
      <c r="B388" s="96"/>
      <c r="C388" s="119" t="s">
        <v>164</v>
      </c>
      <c r="D388" s="119" t="s">
        <v>180</v>
      </c>
      <c r="E388" s="119"/>
    </row>
    <row r="389" spans="1:5" ht="15">
      <c r="A389" s="96"/>
      <c r="B389" s="96"/>
      <c r="C389" s="119" t="s">
        <v>167</v>
      </c>
      <c r="D389" s="119" t="s">
        <v>174</v>
      </c>
      <c r="E389" s="119"/>
    </row>
    <row r="390" spans="1:5" ht="15">
      <c r="A390" s="96"/>
      <c r="B390" s="96"/>
      <c r="C390" s="119" t="s">
        <v>165</v>
      </c>
      <c r="D390" s="119" t="s">
        <v>172</v>
      </c>
      <c r="E390" s="119"/>
    </row>
    <row r="391" spans="1:5" ht="15.75" thickBot="1">
      <c r="A391" s="96"/>
      <c r="B391" s="96"/>
      <c r="C391" s="119" t="s">
        <v>685</v>
      </c>
      <c r="D391" s="119" t="s">
        <v>177</v>
      </c>
      <c r="E391" s="119"/>
    </row>
    <row r="392" spans="1:5" ht="60.75" thickTop="1">
      <c r="A392" s="120" t="s">
        <v>688</v>
      </c>
      <c r="B392" s="84" t="s">
        <v>691</v>
      </c>
      <c r="C392" s="130" t="s">
        <v>723</v>
      </c>
      <c r="D392" s="130" t="s">
        <v>724</v>
      </c>
      <c r="E392" s="83" t="s">
        <v>690</v>
      </c>
    </row>
    <row r="393" spans="1:5" ht="15">
      <c r="B393" s="89"/>
      <c r="C393" s="123" t="s">
        <v>166</v>
      </c>
      <c r="D393" s="123" t="s">
        <v>695</v>
      </c>
    </row>
    <row r="394" spans="1:5" ht="15">
      <c r="C394" s="123" t="s">
        <v>164</v>
      </c>
      <c r="D394" s="123" t="s">
        <v>180</v>
      </c>
    </row>
    <row r="395" spans="1:5" ht="15">
      <c r="C395" s="123" t="s">
        <v>167</v>
      </c>
      <c r="D395" s="123" t="s">
        <v>174</v>
      </c>
    </row>
    <row r="396" spans="1:5" ht="15">
      <c r="C396" s="123" t="s">
        <v>165</v>
      </c>
      <c r="D396" s="123" t="s">
        <v>172</v>
      </c>
    </row>
    <row r="397" spans="1:5" ht="15.75" thickBot="1">
      <c r="C397" s="123" t="s">
        <v>689</v>
      </c>
      <c r="D397" s="123" t="s">
        <v>177</v>
      </c>
    </row>
    <row r="398" spans="1:5" ht="60.75" thickTop="1">
      <c r="A398" s="91" t="s">
        <v>692</v>
      </c>
      <c r="B398" s="91" t="s">
        <v>693</v>
      </c>
      <c r="C398" s="118" t="s">
        <v>689</v>
      </c>
      <c r="D398" s="118" t="s">
        <v>177</v>
      </c>
      <c r="E398" s="118" t="s">
        <v>694</v>
      </c>
    </row>
    <row r="399" spans="1:5" ht="15">
      <c r="A399" s="119"/>
      <c r="B399" s="119"/>
      <c r="C399" s="119" t="s">
        <v>166</v>
      </c>
      <c r="D399" s="119" t="s">
        <v>695</v>
      </c>
      <c r="E399" s="119"/>
    </row>
    <row r="400" spans="1:5" ht="15">
      <c r="A400" s="119"/>
      <c r="B400" s="119"/>
      <c r="C400" s="119" t="s">
        <v>164</v>
      </c>
      <c r="D400" s="119" t="s">
        <v>180</v>
      </c>
      <c r="E400" s="119"/>
    </row>
    <row r="401" spans="1:5" ht="15">
      <c r="A401" s="119"/>
      <c r="B401" s="119"/>
      <c r="C401" s="119" t="s">
        <v>167</v>
      </c>
      <c r="D401" s="119" t="s">
        <v>174</v>
      </c>
      <c r="E401" s="119"/>
    </row>
    <row r="402" spans="1:5" ht="15">
      <c r="A402" s="119"/>
      <c r="B402" s="119"/>
      <c r="C402" s="119" t="s">
        <v>165</v>
      </c>
      <c r="D402" s="119" t="s">
        <v>172</v>
      </c>
      <c r="E402" s="119"/>
    </row>
    <row r="403" spans="1:5" ht="15.75" thickBot="1">
      <c r="A403" s="119"/>
      <c r="B403" s="119"/>
      <c r="C403" s="119" t="s">
        <v>191</v>
      </c>
      <c r="D403" s="119" t="s">
        <v>178</v>
      </c>
      <c r="E403" s="119"/>
    </row>
    <row r="404" spans="1:5" ht="60.75" thickTop="1">
      <c r="A404" s="120" t="s">
        <v>717</v>
      </c>
      <c r="B404" s="84" t="s">
        <v>407</v>
      </c>
      <c r="C404" s="122" t="s">
        <v>667</v>
      </c>
      <c r="D404" s="122">
        <v>80</v>
      </c>
      <c r="E404" s="83" t="s">
        <v>718</v>
      </c>
    </row>
    <row r="405" spans="1:5" ht="15">
      <c r="C405" s="123" t="s">
        <v>166</v>
      </c>
      <c r="D405" s="123">
        <v>0.1</v>
      </c>
      <c r="E405" s="123"/>
    </row>
    <row r="406" spans="1:5" ht="15">
      <c r="C406" s="123" t="s">
        <v>164</v>
      </c>
      <c r="D406" s="123">
        <v>10</v>
      </c>
      <c r="E406" s="123"/>
    </row>
    <row r="407" spans="1:5" ht="15">
      <c r="C407" s="123" t="s">
        <v>167</v>
      </c>
      <c r="D407" s="123" t="s">
        <v>174</v>
      </c>
      <c r="E407" s="123"/>
    </row>
    <row r="408" spans="1:5" ht="15">
      <c r="C408" s="123" t="s">
        <v>165</v>
      </c>
      <c r="D408" s="123">
        <v>3</v>
      </c>
      <c r="E408" s="123"/>
    </row>
    <row r="409" spans="1:5" ht="15">
      <c r="C409" s="123" t="s">
        <v>189</v>
      </c>
      <c r="D409" s="123">
        <v>50</v>
      </c>
      <c r="E409" s="123"/>
    </row>
    <row r="410" spans="1:5" ht="15">
      <c r="C410" s="123" t="s">
        <v>82</v>
      </c>
      <c r="D410" s="123">
        <v>50</v>
      </c>
      <c r="E410" s="123"/>
    </row>
    <row r="411" spans="1:5" ht="15.75" thickBot="1">
      <c r="C411" s="123" t="s">
        <v>191</v>
      </c>
      <c r="D411" s="123">
        <v>50</v>
      </c>
      <c r="E411" s="123"/>
    </row>
    <row r="412" spans="1:5" ht="15.75" thickTop="1">
      <c r="A412" s="120"/>
      <c r="B412" s="84"/>
      <c r="C412" s="120"/>
      <c r="D412" s="84"/>
      <c r="E412" s="120"/>
    </row>
  </sheetData>
  <mergeCells count="8">
    <mergeCell ref="E96:E107"/>
    <mergeCell ref="E117:E127"/>
    <mergeCell ref="A6:E6"/>
    <mergeCell ref="E9:E14"/>
    <mergeCell ref="E15:E20"/>
    <mergeCell ref="E21:E30"/>
    <mergeCell ref="B31:B32"/>
    <mergeCell ref="E31:E38"/>
  </mergeCells>
  <phoneticPr fontId="43" type="noConversion"/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E375"/>
  <sheetViews>
    <sheetView topLeftCell="A323" zoomScale="110" zoomScaleNormal="110" workbookViewId="0">
      <selection activeCell="A344" sqref="A344"/>
    </sheetView>
  </sheetViews>
  <sheetFormatPr defaultRowHeight="12.75"/>
  <cols>
    <col min="1" max="1" width="13.85546875" customWidth="1"/>
    <col min="2" max="2" width="21.42578125" customWidth="1"/>
    <col min="3" max="3" width="24.85546875" customWidth="1"/>
    <col min="4" max="4" width="29.28515625" customWidth="1"/>
    <col min="5" max="5" width="68" customWidth="1"/>
  </cols>
  <sheetData>
    <row r="6" spans="1:5" ht="18">
      <c r="A6" s="175" t="s">
        <v>48</v>
      </c>
      <c r="B6" s="175"/>
      <c r="C6" s="175"/>
      <c r="D6" s="175"/>
      <c r="E6" s="175"/>
    </row>
    <row r="7" spans="1:5" ht="13.5" thickBot="1"/>
    <row r="8" spans="1:5" ht="66.75" customHeight="1" thickTop="1" thickBot="1">
      <c r="A8" s="98" t="s">
        <v>45</v>
      </c>
      <c r="B8" s="98" t="s">
        <v>46</v>
      </c>
      <c r="C8" s="98" t="s">
        <v>43</v>
      </c>
      <c r="D8" s="98" t="s">
        <v>44</v>
      </c>
      <c r="E8" s="98" t="s">
        <v>47</v>
      </c>
    </row>
    <row r="9" spans="1:5" ht="15.75" thickTop="1">
      <c r="A9" s="99" t="s">
        <v>0</v>
      </c>
      <c r="B9" s="99" t="s">
        <v>1</v>
      </c>
      <c r="C9" s="100" t="s">
        <v>27</v>
      </c>
      <c r="D9" s="100" t="s">
        <v>169</v>
      </c>
      <c r="E9" s="186" t="s">
        <v>211</v>
      </c>
    </row>
    <row r="10" spans="1:5" ht="15">
      <c r="A10" s="92"/>
      <c r="B10" s="92"/>
      <c r="C10" s="97" t="s">
        <v>183</v>
      </c>
      <c r="D10" s="97" t="s">
        <v>193</v>
      </c>
      <c r="E10" s="187"/>
    </row>
    <row r="11" spans="1:5" ht="15">
      <c r="A11" s="92"/>
      <c r="B11" s="93"/>
      <c r="C11" s="97" t="s">
        <v>210</v>
      </c>
      <c r="D11" s="97" t="s">
        <v>193</v>
      </c>
      <c r="E11" s="187"/>
    </row>
    <row r="12" spans="1:5" ht="15">
      <c r="A12" s="92"/>
      <c r="B12" s="93"/>
      <c r="C12" s="97" t="s">
        <v>82</v>
      </c>
      <c r="D12" s="97" t="s">
        <v>193</v>
      </c>
      <c r="E12" s="187"/>
    </row>
    <row r="13" spans="1:5" ht="15">
      <c r="A13" s="92"/>
      <c r="B13" s="93"/>
      <c r="C13" s="97" t="s">
        <v>164</v>
      </c>
      <c r="D13" s="97" t="s">
        <v>179</v>
      </c>
      <c r="E13" s="187"/>
    </row>
    <row r="14" spans="1:5" ht="15">
      <c r="A14" s="92"/>
      <c r="B14" s="93"/>
      <c r="C14" s="97" t="s">
        <v>165</v>
      </c>
      <c r="D14" s="97" t="s">
        <v>172</v>
      </c>
      <c r="E14" s="187"/>
    </row>
    <row r="15" spans="1:5" ht="15">
      <c r="A15" s="92"/>
      <c r="B15" s="93"/>
      <c r="C15" s="97" t="s">
        <v>166</v>
      </c>
      <c r="D15" s="97" t="s">
        <v>173</v>
      </c>
      <c r="E15" s="187"/>
    </row>
    <row r="16" spans="1:5" ht="15.75" thickBot="1">
      <c r="A16" s="92"/>
      <c r="B16" s="93"/>
      <c r="C16" s="97" t="s">
        <v>167</v>
      </c>
      <c r="D16" s="97" t="s">
        <v>174</v>
      </c>
      <c r="E16" s="187"/>
    </row>
    <row r="17" spans="1:5" ht="39.75" customHeight="1" thickTop="1">
      <c r="A17" s="101" t="s">
        <v>2</v>
      </c>
      <c r="B17" s="101" t="s">
        <v>34</v>
      </c>
      <c r="C17" s="102" t="s">
        <v>209</v>
      </c>
      <c r="D17" s="102" t="s">
        <v>192</v>
      </c>
      <c r="E17" s="188" t="s">
        <v>213</v>
      </c>
    </row>
    <row r="18" spans="1:5" ht="15">
      <c r="A18" s="103"/>
      <c r="B18" s="103"/>
      <c r="C18" s="104" t="s">
        <v>27</v>
      </c>
      <c r="D18" s="104" t="s">
        <v>169</v>
      </c>
      <c r="E18" s="185"/>
    </row>
    <row r="19" spans="1:5" ht="15">
      <c r="A19" s="103"/>
      <c r="B19" s="103"/>
      <c r="C19" s="104" t="s">
        <v>191</v>
      </c>
      <c r="D19" s="104" t="s">
        <v>170</v>
      </c>
      <c r="E19" s="185"/>
    </row>
    <row r="20" spans="1:5" ht="15">
      <c r="A20" s="103"/>
      <c r="B20" s="105"/>
      <c r="C20" s="104" t="s">
        <v>82</v>
      </c>
      <c r="D20" s="104" t="s">
        <v>193</v>
      </c>
      <c r="E20" s="185"/>
    </row>
    <row r="21" spans="1:5" ht="15">
      <c r="A21" s="103"/>
      <c r="B21" s="105"/>
      <c r="C21" s="104" t="s">
        <v>164</v>
      </c>
      <c r="D21" s="104" t="s">
        <v>179</v>
      </c>
      <c r="E21" s="185"/>
    </row>
    <row r="22" spans="1:5" ht="15">
      <c r="A22" s="103"/>
      <c r="B22" s="105"/>
      <c r="C22" s="104" t="s">
        <v>212</v>
      </c>
      <c r="D22" s="104" t="s">
        <v>179</v>
      </c>
      <c r="E22" s="185"/>
    </row>
    <row r="23" spans="1:5" ht="15">
      <c r="A23" s="103"/>
      <c r="B23" s="105"/>
      <c r="C23" s="104" t="s">
        <v>165</v>
      </c>
      <c r="D23" s="104" t="s">
        <v>172</v>
      </c>
      <c r="E23" s="185"/>
    </row>
    <row r="24" spans="1:5" ht="15">
      <c r="A24" s="103"/>
      <c r="B24" s="105"/>
      <c r="C24" s="104" t="s">
        <v>166</v>
      </c>
      <c r="D24" s="104" t="s">
        <v>173</v>
      </c>
      <c r="E24" s="185"/>
    </row>
    <row r="25" spans="1:5" ht="15.75" thickBot="1">
      <c r="A25" s="106"/>
      <c r="B25" s="107"/>
      <c r="C25" s="108" t="s">
        <v>167</v>
      </c>
      <c r="D25" s="108" t="s">
        <v>174</v>
      </c>
      <c r="E25" s="189"/>
    </row>
    <row r="26" spans="1:5" ht="15.75" thickTop="1">
      <c r="A26" s="99" t="s">
        <v>3</v>
      </c>
      <c r="B26" s="99" t="s">
        <v>74</v>
      </c>
      <c r="C26" s="100" t="s">
        <v>210</v>
      </c>
      <c r="D26" s="100" t="s">
        <v>169</v>
      </c>
      <c r="E26" s="186" t="s">
        <v>215</v>
      </c>
    </row>
    <row r="27" spans="1:5" ht="15">
      <c r="A27" s="92"/>
      <c r="B27" s="92"/>
      <c r="C27" s="97" t="s">
        <v>214</v>
      </c>
      <c r="D27" s="97" t="s">
        <v>169</v>
      </c>
      <c r="E27" s="187"/>
    </row>
    <row r="28" spans="1:5" ht="15">
      <c r="A28" s="92"/>
      <c r="B28" s="92"/>
      <c r="C28" s="97" t="s">
        <v>191</v>
      </c>
      <c r="D28" s="97" t="s">
        <v>170</v>
      </c>
      <c r="E28" s="187"/>
    </row>
    <row r="29" spans="1:5" ht="15">
      <c r="A29" s="92"/>
      <c r="B29" s="97"/>
      <c r="C29" s="97" t="s">
        <v>183</v>
      </c>
      <c r="D29" s="97" t="s">
        <v>193</v>
      </c>
      <c r="E29" s="187"/>
    </row>
    <row r="30" spans="1:5" ht="15">
      <c r="A30" s="92"/>
      <c r="B30" s="93"/>
      <c r="C30" s="97" t="s">
        <v>82</v>
      </c>
      <c r="D30" s="97" t="s">
        <v>193</v>
      </c>
      <c r="E30" s="187"/>
    </row>
    <row r="31" spans="1:5" ht="15">
      <c r="A31" s="92"/>
      <c r="B31" s="93"/>
      <c r="C31" s="97" t="s">
        <v>164</v>
      </c>
      <c r="D31" s="97" t="s">
        <v>179</v>
      </c>
      <c r="E31" s="187"/>
    </row>
    <row r="32" spans="1:5" ht="15">
      <c r="A32" s="92"/>
      <c r="B32" s="93"/>
      <c r="C32" s="97" t="s">
        <v>212</v>
      </c>
      <c r="D32" s="97" t="s">
        <v>179</v>
      </c>
      <c r="E32" s="187"/>
    </row>
    <row r="33" spans="1:5" ht="15">
      <c r="A33" s="92"/>
      <c r="B33" s="93"/>
      <c r="C33" s="97" t="s">
        <v>165</v>
      </c>
      <c r="D33" s="97" t="s">
        <v>172</v>
      </c>
      <c r="E33" s="187"/>
    </row>
    <row r="34" spans="1:5" ht="15">
      <c r="A34" s="92"/>
      <c r="B34" s="93"/>
      <c r="C34" s="97" t="s">
        <v>166</v>
      </c>
      <c r="D34" s="97" t="s">
        <v>173</v>
      </c>
      <c r="E34" s="187"/>
    </row>
    <row r="35" spans="1:5" ht="15.75" thickBot="1">
      <c r="A35" s="92"/>
      <c r="B35" s="93"/>
      <c r="C35" s="97" t="s">
        <v>167</v>
      </c>
      <c r="D35" s="97" t="s">
        <v>174</v>
      </c>
      <c r="E35" s="187"/>
    </row>
    <row r="36" spans="1:5" ht="15.75" thickTop="1">
      <c r="A36" s="109" t="s">
        <v>4</v>
      </c>
      <c r="B36" s="109" t="s">
        <v>31</v>
      </c>
      <c r="C36" s="110" t="s">
        <v>183</v>
      </c>
      <c r="D36" s="110" t="s">
        <v>192</v>
      </c>
      <c r="E36" s="184" t="s">
        <v>216</v>
      </c>
    </row>
    <row r="37" spans="1:5" ht="15">
      <c r="A37" s="103"/>
      <c r="B37" s="103"/>
      <c r="C37" s="104" t="s">
        <v>214</v>
      </c>
      <c r="D37" s="104" t="s">
        <v>169</v>
      </c>
      <c r="E37" s="185"/>
    </row>
    <row r="38" spans="1:5" ht="15">
      <c r="A38" s="103"/>
      <c r="B38" s="111"/>
      <c r="C38" s="104" t="s">
        <v>191</v>
      </c>
      <c r="D38" s="104" t="s">
        <v>170</v>
      </c>
      <c r="E38" s="185"/>
    </row>
    <row r="39" spans="1:5" ht="15">
      <c r="A39" s="103"/>
      <c r="B39" s="103"/>
      <c r="C39" s="104" t="s">
        <v>82</v>
      </c>
      <c r="D39" s="104" t="s">
        <v>193</v>
      </c>
      <c r="E39" s="185"/>
    </row>
    <row r="40" spans="1:5" ht="15">
      <c r="A40" s="103"/>
      <c r="B40" s="105"/>
      <c r="C40" s="104" t="s">
        <v>164</v>
      </c>
      <c r="D40" s="104" t="s">
        <v>179</v>
      </c>
      <c r="E40" s="185"/>
    </row>
    <row r="41" spans="1:5" ht="15">
      <c r="A41" s="103"/>
      <c r="B41" s="105"/>
      <c r="C41" s="104" t="s">
        <v>212</v>
      </c>
      <c r="D41" s="104" t="s">
        <v>179</v>
      </c>
      <c r="E41" s="185"/>
    </row>
    <row r="42" spans="1:5" ht="15">
      <c r="A42" s="103"/>
      <c r="B42" s="105"/>
      <c r="C42" s="104" t="s">
        <v>165</v>
      </c>
      <c r="D42" s="104" t="s">
        <v>172</v>
      </c>
      <c r="E42" s="185"/>
    </row>
    <row r="43" spans="1:5" ht="15">
      <c r="A43" s="103"/>
      <c r="B43" s="105"/>
      <c r="C43" s="104" t="s">
        <v>166</v>
      </c>
      <c r="D43" s="104" t="s">
        <v>173</v>
      </c>
      <c r="E43" s="185"/>
    </row>
    <row r="44" spans="1:5" ht="15.75" thickBot="1">
      <c r="A44" s="103"/>
      <c r="B44" s="105"/>
      <c r="C44" s="104" t="s">
        <v>167</v>
      </c>
      <c r="D44" s="104" t="s">
        <v>174</v>
      </c>
      <c r="E44" s="185"/>
    </row>
    <row r="45" spans="1:5" ht="15.75" thickTop="1">
      <c r="A45" s="99" t="s">
        <v>5</v>
      </c>
      <c r="B45" s="99" t="s">
        <v>41</v>
      </c>
      <c r="C45" s="100" t="s">
        <v>183</v>
      </c>
      <c r="D45" s="100" t="s">
        <v>192</v>
      </c>
      <c r="E45" s="186" t="s">
        <v>217</v>
      </c>
    </row>
    <row r="46" spans="1:5" ht="15">
      <c r="A46" s="92"/>
      <c r="B46" s="92"/>
      <c r="C46" s="97" t="s">
        <v>52</v>
      </c>
      <c r="D46" s="97" t="s">
        <v>169</v>
      </c>
      <c r="E46" s="187"/>
    </row>
    <row r="47" spans="1:5" ht="15">
      <c r="A47" s="92"/>
      <c r="B47" s="97"/>
      <c r="C47" s="97" t="s">
        <v>197</v>
      </c>
      <c r="D47" s="97" t="s">
        <v>169</v>
      </c>
      <c r="E47" s="187"/>
    </row>
    <row r="48" spans="1:5" ht="15">
      <c r="A48" s="92"/>
      <c r="B48" s="93"/>
      <c r="C48" s="97" t="s">
        <v>164</v>
      </c>
      <c r="D48" s="97" t="s">
        <v>179</v>
      </c>
      <c r="E48" s="187"/>
    </row>
    <row r="49" spans="1:5" ht="15">
      <c r="A49" s="92"/>
      <c r="B49" s="93"/>
      <c r="C49" s="97" t="s">
        <v>165</v>
      </c>
      <c r="D49" s="97" t="s">
        <v>172</v>
      </c>
      <c r="E49" s="187"/>
    </row>
    <row r="50" spans="1:5" ht="15">
      <c r="A50" s="92"/>
      <c r="B50" s="93"/>
      <c r="C50" s="97" t="s">
        <v>166</v>
      </c>
      <c r="D50" s="97" t="s">
        <v>173</v>
      </c>
      <c r="E50" s="187"/>
    </row>
    <row r="51" spans="1:5" ht="15.75" thickBot="1">
      <c r="A51" s="92"/>
      <c r="B51" s="93"/>
      <c r="C51" s="97" t="s">
        <v>167</v>
      </c>
      <c r="D51" s="97" t="s">
        <v>174</v>
      </c>
      <c r="E51" s="187"/>
    </row>
    <row r="52" spans="1:5" ht="15.75" thickTop="1">
      <c r="A52" s="109" t="s">
        <v>6</v>
      </c>
      <c r="B52" s="109" t="s">
        <v>75</v>
      </c>
      <c r="C52" s="110" t="s">
        <v>183</v>
      </c>
      <c r="D52" s="110" t="s">
        <v>192</v>
      </c>
      <c r="E52" s="184" t="s">
        <v>219</v>
      </c>
    </row>
    <row r="53" spans="1:5" ht="15">
      <c r="A53" s="103"/>
      <c r="B53" s="103"/>
      <c r="C53" s="104" t="s">
        <v>218</v>
      </c>
      <c r="D53" s="104" t="s">
        <v>169</v>
      </c>
      <c r="E53" s="185"/>
    </row>
    <row r="54" spans="1:5" ht="15">
      <c r="A54" s="103"/>
      <c r="B54" s="104"/>
      <c r="C54" s="104" t="s">
        <v>52</v>
      </c>
      <c r="D54" s="104" t="s">
        <v>169</v>
      </c>
      <c r="E54" s="185"/>
    </row>
    <row r="55" spans="1:5" ht="15">
      <c r="A55" s="103"/>
      <c r="B55" s="105"/>
      <c r="C55" s="104" t="s">
        <v>82</v>
      </c>
      <c r="D55" s="104" t="s">
        <v>193</v>
      </c>
      <c r="E55" s="185"/>
    </row>
    <row r="56" spans="1:5" ht="15">
      <c r="A56" s="103"/>
      <c r="B56" s="105"/>
      <c r="C56" s="104" t="s">
        <v>164</v>
      </c>
      <c r="D56" s="104" t="s">
        <v>179</v>
      </c>
      <c r="E56" s="185"/>
    </row>
    <row r="57" spans="1:5" ht="15">
      <c r="A57" s="103"/>
      <c r="B57" s="105"/>
      <c r="C57" s="104" t="s">
        <v>165</v>
      </c>
      <c r="D57" s="104" t="s">
        <v>172</v>
      </c>
      <c r="E57" s="185"/>
    </row>
    <row r="58" spans="1:5" ht="15">
      <c r="A58" s="103"/>
      <c r="B58" s="105"/>
      <c r="C58" s="104" t="s">
        <v>166</v>
      </c>
      <c r="D58" s="104" t="s">
        <v>173</v>
      </c>
      <c r="E58" s="185"/>
    </row>
    <row r="59" spans="1:5" ht="15.75" thickBot="1">
      <c r="A59" s="103"/>
      <c r="B59" s="105"/>
      <c r="C59" s="104" t="s">
        <v>167</v>
      </c>
      <c r="D59" s="104" t="s">
        <v>174</v>
      </c>
      <c r="E59" s="185"/>
    </row>
    <row r="60" spans="1:5" ht="15.75" thickTop="1">
      <c r="A60" s="99" t="s">
        <v>7</v>
      </c>
      <c r="B60" s="99" t="s">
        <v>32</v>
      </c>
      <c r="C60" s="100" t="s">
        <v>183</v>
      </c>
      <c r="D60" s="100" t="s">
        <v>192</v>
      </c>
      <c r="E60" s="186" t="s">
        <v>221</v>
      </c>
    </row>
    <row r="61" spans="1:5" ht="15">
      <c r="A61" s="92"/>
      <c r="B61" s="112"/>
      <c r="C61" s="97" t="s">
        <v>220</v>
      </c>
      <c r="D61" s="97" t="s">
        <v>169</v>
      </c>
      <c r="E61" s="187"/>
    </row>
    <row r="62" spans="1:5" ht="15">
      <c r="A62" s="92"/>
      <c r="B62" s="97"/>
      <c r="C62" s="97" t="s">
        <v>116</v>
      </c>
      <c r="D62" s="97" t="s">
        <v>169</v>
      </c>
      <c r="E62" s="187"/>
    </row>
    <row r="63" spans="1:5" ht="15">
      <c r="A63" s="92"/>
      <c r="B63" s="93"/>
      <c r="C63" s="97" t="s">
        <v>82</v>
      </c>
      <c r="D63" s="97" t="s">
        <v>193</v>
      </c>
      <c r="E63" s="187"/>
    </row>
    <row r="64" spans="1:5" ht="15">
      <c r="A64" s="92"/>
      <c r="B64" s="93"/>
      <c r="C64" s="97" t="s">
        <v>164</v>
      </c>
      <c r="D64" s="97" t="s">
        <v>179</v>
      </c>
      <c r="E64" s="187"/>
    </row>
    <row r="65" spans="1:5" ht="15">
      <c r="A65" s="92"/>
      <c r="B65" s="93"/>
      <c r="C65" s="97" t="s">
        <v>212</v>
      </c>
      <c r="D65" s="97" t="s">
        <v>179</v>
      </c>
      <c r="E65" s="187"/>
    </row>
    <row r="66" spans="1:5" ht="15">
      <c r="A66" s="92"/>
      <c r="B66" s="93"/>
      <c r="C66" s="97" t="s">
        <v>165</v>
      </c>
      <c r="D66" s="97" t="s">
        <v>172</v>
      </c>
      <c r="E66" s="187"/>
    </row>
    <row r="67" spans="1:5" ht="15">
      <c r="A67" s="92"/>
      <c r="B67" s="93"/>
      <c r="C67" s="97" t="s">
        <v>166</v>
      </c>
      <c r="D67" s="97" t="s">
        <v>173</v>
      </c>
      <c r="E67" s="187"/>
    </row>
    <row r="68" spans="1:5" ht="15.75" thickBot="1">
      <c r="A68" s="92"/>
      <c r="B68" s="93"/>
      <c r="C68" s="97" t="s">
        <v>167</v>
      </c>
      <c r="D68" s="97" t="s">
        <v>174</v>
      </c>
      <c r="E68" s="187"/>
    </row>
    <row r="69" spans="1:5" ht="15.75" thickTop="1">
      <c r="A69" s="109" t="s">
        <v>8</v>
      </c>
      <c r="B69" s="109" t="s">
        <v>76</v>
      </c>
      <c r="C69" s="110" t="s">
        <v>183</v>
      </c>
      <c r="D69" s="110" t="s">
        <v>192</v>
      </c>
      <c r="E69" s="184" t="s">
        <v>224</v>
      </c>
    </row>
    <row r="70" spans="1:5" ht="15">
      <c r="A70" s="103"/>
      <c r="B70" s="103"/>
      <c r="C70" s="104" t="s">
        <v>222</v>
      </c>
      <c r="D70" s="104" t="s">
        <v>169</v>
      </c>
      <c r="E70" s="185"/>
    </row>
    <row r="71" spans="1:5" ht="15">
      <c r="A71" s="103"/>
      <c r="B71" s="104"/>
      <c r="C71" s="104" t="s">
        <v>223</v>
      </c>
      <c r="D71" s="104" t="s">
        <v>169</v>
      </c>
      <c r="E71" s="185"/>
    </row>
    <row r="72" spans="1:5" ht="15">
      <c r="A72" s="103"/>
      <c r="B72" s="105"/>
      <c r="C72" s="104" t="s">
        <v>82</v>
      </c>
      <c r="D72" s="104" t="s">
        <v>193</v>
      </c>
      <c r="E72" s="185"/>
    </row>
    <row r="73" spans="1:5" ht="15">
      <c r="A73" s="103"/>
      <c r="B73" s="105"/>
      <c r="C73" s="104" t="s">
        <v>164</v>
      </c>
      <c r="D73" s="104" t="s">
        <v>179</v>
      </c>
      <c r="E73" s="185"/>
    </row>
    <row r="74" spans="1:5" ht="15">
      <c r="A74" s="103"/>
      <c r="B74" s="105"/>
      <c r="C74" s="104" t="s">
        <v>165</v>
      </c>
      <c r="D74" s="104" t="s">
        <v>172</v>
      </c>
      <c r="E74" s="185"/>
    </row>
    <row r="75" spans="1:5" ht="15">
      <c r="A75" s="103"/>
      <c r="B75" s="105"/>
      <c r="C75" s="104" t="s">
        <v>166</v>
      </c>
      <c r="D75" s="104" t="s">
        <v>173</v>
      </c>
      <c r="E75" s="185"/>
    </row>
    <row r="76" spans="1:5" ht="15">
      <c r="A76" s="103"/>
      <c r="B76" s="105"/>
      <c r="C76" s="104" t="s">
        <v>167</v>
      </c>
      <c r="D76" s="104" t="s">
        <v>174</v>
      </c>
      <c r="E76" s="185"/>
    </row>
    <row r="77" spans="1:5" ht="15">
      <c r="A77" s="103"/>
      <c r="B77" s="105"/>
      <c r="C77" s="104" t="s">
        <v>183</v>
      </c>
      <c r="D77" s="104" t="s">
        <v>192</v>
      </c>
      <c r="E77" s="185"/>
    </row>
    <row r="78" spans="1:5" ht="15">
      <c r="A78" s="103"/>
      <c r="B78" s="105"/>
      <c r="C78" s="104" t="s">
        <v>222</v>
      </c>
      <c r="D78" s="104" t="s">
        <v>169</v>
      </c>
      <c r="E78" s="185"/>
    </row>
    <row r="79" spans="1:5" ht="15.75" thickBot="1">
      <c r="A79" s="103"/>
      <c r="B79" s="105"/>
      <c r="C79" s="104" t="s">
        <v>223</v>
      </c>
      <c r="D79" s="104" t="s">
        <v>169</v>
      </c>
      <c r="E79" s="185"/>
    </row>
    <row r="80" spans="1:5" ht="15.75" thickTop="1">
      <c r="A80" s="99" t="s">
        <v>9</v>
      </c>
      <c r="B80" s="99" t="s">
        <v>37</v>
      </c>
      <c r="C80" s="100" t="s">
        <v>183</v>
      </c>
      <c r="D80" s="100" t="s">
        <v>192</v>
      </c>
      <c r="E80" s="186" t="s">
        <v>226</v>
      </c>
    </row>
    <row r="81" spans="1:5" ht="15">
      <c r="A81" s="92"/>
      <c r="B81" s="92"/>
      <c r="C81" s="97" t="s">
        <v>52</v>
      </c>
      <c r="D81" s="97" t="s">
        <v>169</v>
      </c>
      <c r="E81" s="187"/>
    </row>
    <row r="82" spans="1:5" ht="15">
      <c r="A82" s="92"/>
      <c r="B82" s="97"/>
      <c r="C82" s="97" t="s">
        <v>140</v>
      </c>
      <c r="D82" s="97" t="s">
        <v>169</v>
      </c>
      <c r="E82" s="187"/>
    </row>
    <row r="83" spans="1:5" ht="15">
      <c r="A83" s="92"/>
      <c r="B83" s="93"/>
      <c r="C83" s="97" t="s">
        <v>225</v>
      </c>
      <c r="D83" s="97" t="s">
        <v>193</v>
      </c>
      <c r="E83" s="187"/>
    </row>
    <row r="84" spans="1:5" ht="15">
      <c r="A84" s="92"/>
      <c r="B84" s="93"/>
      <c r="C84" s="97" t="s">
        <v>82</v>
      </c>
      <c r="D84" s="97" t="s">
        <v>193</v>
      </c>
      <c r="E84" s="187"/>
    </row>
    <row r="85" spans="1:5" ht="15">
      <c r="A85" s="92"/>
      <c r="B85" s="93"/>
      <c r="C85" s="97" t="s">
        <v>164</v>
      </c>
      <c r="D85" s="97" t="s">
        <v>179</v>
      </c>
      <c r="E85" s="187"/>
    </row>
    <row r="86" spans="1:5" ht="15">
      <c r="A86" s="92"/>
      <c r="B86" s="93"/>
      <c r="C86" s="97" t="s">
        <v>165</v>
      </c>
      <c r="D86" s="97" t="s">
        <v>172</v>
      </c>
      <c r="E86" s="187"/>
    </row>
    <row r="87" spans="1:5" ht="15">
      <c r="A87" s="92"/>
      <c r="B87" s="93"/>
      <c r="C87" s="97" t="s">
        <v>166</v>
      </c>
      <c r="D87" s="97" t="s">
        <v>173</v>
      </c>
      <c r="E87" s="187"/>
    </row>
    <row r="88" spans="1:5" ht="15.75" thickBot="1">
      <c r="A88" s="92"/>
      <c r="B88" s="93"/>
      <c r="C88" s="97" t="s">
        <v>167</v>
      </c>
      <c r="D88" s="97" t="s">
        <v>174</v>
      </c>
      <c r="E88" s="187"/>
    </row>
    <row r="89" spans="1:5" ht="15.75" thickTop="1">
      <c r="A89" s="109" t="s">
        <v>10</v>
      </c>
      <c r="B89" s="109" t="s">
        <v>227</v>
      </c>
      <c r="C89" s="110" t="s">
        <v>183</v>
      </c>
      <c r="D89" s="110" t="s">
        <v>200</v>
      </c>
      <c r="E89" s="184" t="s">
        <v>229</v>
      </c>
    </row>
    <row r="90" spans="1:5" ht="15">
      <c r="A90" s="103"/>
      <c r="B90" s="103"/>
      <c r="C90" s="104" t="s">
        <v>100</v>
      </c>
      <c r="D90" s="104" t="s">
        <v>178</v>
      </c>
      <c r="E90" s="185"/>
    </row>
    <row r="91" spans="1:5" ht="15">
      <c r="A91" s="103"/>
      <c r="B91" s="104"/>
      <c r="C91" s="104" t="s">
        <v>164</v>
      </c>
      <c r="D91" s="104" t="s">
        <v>179</v>
      </c>
      <c r="E91" s="185"/>
    </row>
    <row r="92" spans="1:5" ht="15">
      <c r="A92" s="103"/>
      <c r="B92" s="105"/>
      <c r="C92" s="104" t="s">
        <v>194</v>
      </c>
      <c r="D92" s="104" t="s">
        <v>180</v>
      </c>
      <c r="E92" s="185"/>
    </row>
    <row r="93" spans="1:5" ht="15">
      <c r="A93" s="103"/>
      <c r="B93" s="105"/>
      <c r="C93" s="104" t="s">
        <v>165</v>
      </c>
      <c r="D93" s="104" t="s">
        <v>172</v>
      </c>
      <c r="E93" s="185"/>
    </row>
    <row r="94" spans="1:5" ht="15">
      <c r="A94" s="103"/>
      <c r="B94" s="105"/>
      <c r="C94" s="104" t="s">
        <v>166</v>
      </c>
      <c r="D94" s="104" t="s">
        <v>228</v>
      </c>
      <c r="E94" s="185"/>
    </row>
    <row r="95" spans="1:5" ht="15">
      <c r="A95" s="103"/>
      <c r="B95" s="105"/>
      <c r="C95" s="104" t="s">
        <v>167</v>
      </c>
      <c r="D95" s="104" t="s">
        <v>174</v>
      </c>
      <c r="E95" s="185"/>
    </row>
    <row r="96" spans="1:5" ht="15.75" thickBot="1">
      <c r="A96" s="103"/>
      <c r="B96" s="105"/>
      <c r="C96" s="104" t="s">
        <v>183</v>
      </c>
      <c r="D96" s="104" t="s">
        <v>200</v>
      </c>
      <c r="E96" s="185"/>
    </row>
    <row r="97" spans="1:5" ht="30.75" thickTop="1">
      <c r="A97" s="99" t="s">
        <v>11</v>
      </c>
      <c r="B97" s="99" t="s">
        <v>124</v>
      </c>
      <c r="C97" s="100" t="s">
        <v>210</v>
      </c>
      <c r="D97" s="100" t="s">
        <v>192</v>
      </c>
      <c r="E97" s="186" t="s">
        <v>231</v>
      </c>
    </row>
    <row r="98" spans="1:5" ht="15">
      <c r="A98" s="92"/>
      <c r="B98" s="92"/>
      <c r="C98" s="97" t="s">
        <v>82</v>
      </c>
      <c r="D98" s="97" t="s">
        <v>193</v>
      </c>
      <c r="E98" s="187"/>
    </row>
    <row r="99" spans="1:5" ht="15">
      <c r="A99" s="92"/>
      <c r="B99" s="93"/>
      <c r="C99" s="97" t="s">
        <v>225</v>
      </c>
      <c r="D99" s="97" t="s">
        <v>193</v>
      </c>
      <c r="E99" s="187"/>
    </row>
    <row r="100" spans="1:5" ht="15">
      <c r="A100" s="92"/>
      <c r="B100" s="93"/>
      <c r="C100" s="97" t="s">
        <v>39</v>
      </c>
      <c r="D100" s="97" t="s">
        <v>193</v>
      </c>
      <c r="E100" s="187"/>
    </row>
    <row r="101" spans="1:5" ht="15">
      <c r="A101" s="92"/>
      <c r="B101" s="93"/>
      <c r="C101" s="97" t="s">
        <v>230</v>
      </c>
      <c r="D101" s="97" t="s">
        <v>179</v>
      </c>
      <c r="E101" s="187"/>
    </row>
    <row r="102" spans="1:5" ht="15">
      <c r="A102" s="92"/>
      <c r="B102" s="93"/>
      <c r="C102" s="97" t="s">
        <v>164</v>
      </c>
      <c r="D102" s="97" t="s">
        <v>179</v>
      </c>
      <c r="E102" s="187"/>
    </row>
    <row r="103" spans="1:5" ht="15">
      <c r="A103" s="92"/>
      <c r="B103" s="93"/>
      <c r="C103" s="97" t="s">
        <v>165</v>
      </c>
      <c r="D103" s="97" t="s">
        <v>172</v>
      </c>
      <c r="E103" s="187"/>
    </row>
    <row r="104" spans="1:5" ht="15.75" thickBot="1">
      <c r="A104" s="92"/>
      <c r="B104" s="93"/>
      <c r="C104" s="97" t="s">
        <v>166</v>
      </c>
      <c r="D104" s="97" t="s">
        <v>173</v>
      </c>
      <c r="E104" s="187"/>
    </row>
    <row r="105" spans="1:5" ht="30.75" thickTop="1">
      <c r="A105" s="109" t="s">
        <v>12</v>
      </c>
      <c r="B105" s="109" t="s">
        <v>232</v>
      </c>
      <c r="C105" s="110" t="s">
        <v>210</v>
      </c>
      <c r="D105" s="110" t="s">
        <v>169</v>
      </c>
      <c r="E105" s="184" t="s">
        <v>233</v>
      </c>
    </row>
    <row r="106" spans="1:5" ht="15">
      <c r="A106" s="103"/>
      <c r="B106" s="103"/>
      <c r="C106" s="104" t="s">
        <v>183</v>
      </c>
      <c r="D106" s="104" t="s">
        <v>193</v>
      </c>
      <c r="E106" s="185"/>
    </row>
    <row r="107" spans="1:5" ht="15">
      <c r="A107" s="103"/>
      <c r="B107" s="105"/>
      <c r="C107" s="104" t="s">
        <v>82</v>
      </c>
      <c r="D107" s="104" t="s">
        <v>193</v>
      </c>
      <c r="E107" s="185"/>
    </row>
    <row r="108" spans="1:5" ht="15">
      <c r="A108" s="103"/>
      <c r="B108" s="105"/>
      <c r="C108" s="104" t="s">
        <v>164</v>
      </c>
      <c r="D108" s="104" t="s">
        <v>196</v>
      </c>
      <c r="E108" s="185"/>
    </row>
    <row r="109" spans="1:5" ht="15">
      <c r="A109" s="103"/>
      <c r="B109" s="105"/>
      <c r="C109" s="104" t="s">
        <v>165</v>
      </c>
      <c r="D109" s="104" t="s">
        <v>172</v>
      </c>
      <c r="E109" s="185"/>
    </row>
    <row r="110" spans="1:5" ht="15">
      <c r="A110" s="103"/>
      <c r="B110" s="105"/>
      <c r="C110" s="104" t="s">
        <v>166</v>
      </c>
      <c r="D110" s="104" t="s">
        <v>173</v>
      </c>
      <c r="E110" s="185"/>
    </row>
    <row r="111" spans="1:5" ht="15.75" thickBot="1">
      <c r="A111" s="103"/>
      <c r="B111" s="105"/>
      <c r="C111" s="104" t="s">
        <v>167</v>
      </c>
      <c r="D111" s="104" t="s">
        <v>174</v>
      </c>
      <c r="E111" s="185"/>
    </row>
    <row r="112" spans="1:5" ht="30.75" thickTop="1">
      <c r="A112" s="99" t="s">
        <v>13</v>
      </c>
      <c r="B112" s="99" t="s">
        <v>141</v>
      </c>
      <c r="C112" s="100" t="s">
        <v>210</v>
      </c>
      <c r="D112" s="100" t="s">
        <v>192</v>
      </c>
      <c r="E112" s="186" t="s">
        <v>235</v>
      </c>
    </row>
    <row r="113" spans="1:5" ht="15">
      <c r="A113" s="92"/>
      <c r="B113" s="92"/>
      <c r="C113" s="97" t="s">
        <v>234</v>
      </c>
      <c r="D113" s="97" t="s">
        <v>169</v>
      </c>
      <c r="E113" s="187"/>
    </row>
    <row r="114" spans="1:5" ht="15">
      <c r="A114" s="92"/>
      <c r="B114" s="97"/>
      <c r="C114" s="97" t="s">
        <v>82</v>
      </c>
      <c r="D114" s="97" t="s">
        <v>193</v>
      </c>
      <c r="E114" s="187"/>
    </row>
    <row r="115" spans="1:5" ht="15">
      <c r="A115" s="92"/>
      <c r="B115" s="93"/>
      <c r="C115" s="97" t="s">
        <v>225</v>
      </c>
      <c r="D115" s="97" t="s">
        <v>193</v>
      </c>
      <c r="E115" s="187"/>
    </row>
    <row r="116" spans="1:5" ht="15">
      <c r="A116" s="92"/>
      <c r="B116" s="93"/>
      <c r="C116" s="97" t="s">
        <v>164</v>
      </c>
      <c r="D116" s="97" t="s">
        <v>179</v>
      </c>
      <c r="E116" s="187"/>
    </row>
    <row r="117" spans="1:5" ht="15">
      <c r="A117" s="92"/>
      <c r="B117" s="93"/>
      <c r="C117" s="97" t="s">
        <v>165</v>
      </c>
      <c r="D117" s="97" t="s">
        <v>172</v>
      </c>
      <c r="E117" s="187"/>
    </row>
    <row r="118" spans="1:5" ht="15">
      <c r="A118" s="92"/>
      <c r="B118" s="93"/>
      <c r="C118" s="97" t="s">
        <v>166</v>
      </c>
      <c r="D118" s="97" t="s">
        <v>173</v>
      </c>
      <c r="E118" s="187"/>
    </row>
    <row r="119" spans="1:5" ht="15">
      <c r="A119" s="92"/>
      <c r="B119" s="93"/>
      <c r="C119" s="97" t="s">
        <v>167</v>
      </c>
      <c r="D119" s="97" t="s">
        <v>174</v>
      </c>
      <c r="E119" s="187"/>
    </row>
    <row r="120" spans="1:5" ht="15.75" thickBot="1">
      <c r="A120" s="92"/>
      <c r="B120" s="93"/>
      <c r="C120" s="97"/>
      <c r="D120" s="97"/>
      <c r="E120" s="187"/>
    </row>
    <row r="121" spans="1:5" ht="30.75" thickTop="1">
      <c r="A121" s="109" t="s">
        <v>14</v>
      </c>
      <c r="B121" s="109" t="s">
        <v>30</v>
      </c>
      <c r="C121" s="110" t="s">
        <v>210</v>
      </c>
      <c r="D121" s="110" t="s">
        <v>192</v>
      </c>
      <c r="E121" s="184" t="s">
        <v>236</v>
      </c>
    </row>
    <row r="122" spans="1:5" ht="15">
      <c r="A122" s="103"/>
      <c r="B122" s="103"/>
      <c r="C122" s="104" t="s">
        <v>35</v>
      </c>
      <c r="D122" s="104" t="s">
        <v>178</v>
      </c>
      <c r="E122" s="185"/>
    </row>
    <row r="123" spans="1:5" ht="15">
      <c r="A123" s="103"/>
      <c r="B123" s="105"/>
      <c r="C123" s="104" t="s">
        <v>82</v>
      </c>
      <c r="D123" s="104" t="s">
        <v>186</v>
      </c>
      <c r="E123" s="185"/>
    </row>
    <row r="124" spans="1:5" ht="15">
      <c r="A124" s="103"/>
      <c r="B124" s="105"/>
      <c r="C124" s="104" t="s">
        <v>225</v>
      </c>
      <c r="D124" s="104" t="s">
        <v>193</v>
      </c>
      <c r="E124" s="185"/>
    </row>
    <row r="125" spans="1:5" ht="15">
      <c r="A125" s="103"/>
      <c r="B125" s="105"/>
      <c r="C125" s="104" t="s">
        <v>164</v>
      </c>
      <c r="D125" s="104" t="s">
        <v>179</v>
      </c>
      <c r="E125" s="185"/>
    </row>
    <row r="126" spans="1:5" ht="15">
      <c r="A126" s="103"/>
      <c r="B126" s="105"/>
      <c r="C126" s="104" t="s">
        <v>165</v>
      </c>
      <c r="D126" s="104" t="s">
        <v>172</v>
      </c>
      <c r="E126" s="185"/>
    </row>
    <row r="127" spans="1:5" ht="15">
      <c r="A127" s="103"/>
      <c r="B127" s="105"/>
      <c r="C127" s="104" t="s">
        <v>166</v>
      </c>
      <c r="D127" s="104" t="s">
        <v>173</v>
      </c>
      <c r="E127" s="185"/>
    </row>
    <row r="128" spans="1:5" ht="15.75" thickBot="1">
      <c r="A128" s="103"/>
      <c r="B128" s="105"/>
      <c r="C128" s="104" t="s">
        <v>167</v>
      </c>
      <c r="D128" s="104" t="s">
        <v>174</v>
      </c>
      <c r="E128" s="185"/>
    </row>
    <row r="129" spans="1:5" ht="45.75" thickTop="1">
      <c r="A129" s="99" t="s">
        <v>15</v>
      </c>
      <c r="B129" s="99" t="s">
        <v>237</v>
      </c>
      <c r="C129" s="100" t="s">
        <v>183</v>
      </c>
      <c r="D129" s="100" t="s">
        <v>192</v>
      </c>
      <c r="E129" s="186" t="s">
        <v>240</v>
      </c>
    </row>
    <row r="130" spans="1:5" ht="15">
      <c r="A130" s="92"/>
      <c r="B130" s="92"/>
      <c r="C130" s="97" t="s">
        <v>238</v>
      </c>
      <c r="D130" s="97" t="s">
        <v>239</v>
      </c>
      <c r="E130" s="187"/>
    </row>
    <row r="131" spans="1:5" ht="15">
      <c r="A131" s="92"/>
      <c r="B131" s="93"/>
      <c r="C131" s="97" t="s">
        <v>52</v>
      </c>
      <c r="D131" s="97" t="s">
        <v>169</v>
      </c>
      <c r="E131" s="187"/>
    </row>
    <row r="132" spans="1:5" ht="15">
      <c r="A132" s="92"/>
      <c r="B132" s="93"/>
      <c r="C132" s="97" t="s">
        <v>212</v>
      </c>
      <c r="D132" s="97" t="s">
        <v>179</v>
      </c>
      <c r="E132" s="187"/>
    </row>
    <row r="133" spans="1:5" ht="15">
      <c r="A133" s="92"/>
      <c r="B133" s="93"/>
      <c r="C133" s="97" t="s">
        <v>164</v>
      </c>
      <c r="D133" s="97" t="s">
        <v>179</v>
      </c>
      <c r="E133" s="187"/>
    </row>
    <row r="134" spans="1:5" ht="15">
      <c r="A134" s="92"/>
      <c r="B134" s="93"/>
      <c r="C134" s="97" t="s">
        <v>165</v>
      </c>
      <c r="D134" s="97" t="s">
        <v>172</v>
      </c>
      <c r="E134" s="187"/>
    </row>
    <row r="135" spans="1:5" ht="15">
      <c r="A135" s="92"/>
      <c r="B135" s="93"/>
      <c r="C135" s="97" t="s">
        <v>166</v>
      </c>
      <c r="D135" s="97" t="s">
        <v>173</v>
      </c>
      <c r="E135" s="187"/>
    </row>
    <row r="136" spans="1:5" ht="15.75" thickBot="1">
      <c r="A136" s="92"/>
      <c r="B136" s="93"/>
      <c r="C136" s="97" t="s">
        <v>167</v>
      </c>
      <c r="D136" s="97" t="s">
        <v>174</v>
      </c>
      <c r="E136" s="187"/>
    </row>
    <row r="137" spans="1:5" ht="30.75" thickTop="1">
      <c r="A137" s="109" t="s">
        <v>241</v>
      </c>
      <c r="B137" s="109" t="s">
        <v>134</v>
      </c>
      <c r="C137" s="110" t="s">
        <v>210</v>
      </c>
      <c r="D137" s="110" t="s">
        <v>192</v>
      </c>
      <c r="E137" s="184" t="s">
        <v>242</v>
      </c>
    </row>
    <row r="138" spans="1:5" ht="15">
      <c r="A138" s="103"/>
      <c r="B138" s="103"/>
      <c r="C138" s="104" t="s">
        <v>39</v>
      </c>
      <c r="D138" s="104" t="s">
        <v>178</v>
      </c>
      <c r="E138" s="185"/>
    </row>
    <row r="139" spans="1:5" ht="15">
      <c r="A139" s="103"/>
      <c r="B139" s="104"/>
      <c r="C139" s="104" t="s">
        <v>225</v>
      </c>
      <c r="D139" s="104" t="s">
        <v>178</v>
      </c>
      <c r="E139" s="185"/>
    </row>
    <row r="140" spans="1:5" ht="15">
      <c r="A140" s="103"/>
      <c r="B140" s="105"/>
      <c r="C140" s="104" t="s">
        <v>82</v>
      </c>
      <c r="D140" s="104" t="s">
        <v>186</v>
      </c>
      <c r="E140" s="185"/>
    </row>
    <row r="141" spans="1:5" ht="15">
      <c r="A141" s="103"/>
      <c r="B141" s="105"/>
      <c r="C141" s="104" t="s">
        <v>164</v>
      </c>
      <c r="D141" s="104" t="s">
        <v>179</v>
      </c>
      <c r="E141" s="185"/>
    </row>
    <row r="142" spans="1:5" ht="15">
      <c r="A142" s="103"/>
      <c r="B142" s="105"/>
      <c r="C142" s="104" t="s">
        <v>212</v>
      </c>
      <c r="D142" s="104" t="s">
        <v>179</v>
      </c>
      <c r="E142" s="185"/>
    </row>
    <row r="143" spans="1:5" ht="15">
      <c r="A143" s="103"/>
      <c r="B143" s="105"/>
      <c r="C143" s="104" t="s">
        <v>165</v>
      </c>
      <c r="D143" s="104" t="s">
        <v>172</v>
      </c>
      <c r="E143" s="185"/>
    </row>
    <row r="144" spans="1:5" ht="15">
      <c r="A144" s="103"/>
      <c r="B144" s="105"/>
      <c r="C144" s="104" t="s">
        <v>166</v>
      </c>
      <c r="D144" s="104" t="s">
        <v>173</v>
      </c>
      <c r="E144" s="185"/>
    </row>
    <row r="145" spans="1:5" ht="15.75" thickBot="1">
      <c r="A145" s="103"/>
      <c r="B145" s="105"/>
      <c r="C145" s="104" t="s">
        <v>167</v>
      </c>
      <c r="D145" s="104" t="s">
        <v>174</v>
      </c>
      <c r="E145" s="185"/>
    </row>
    <row r="146" spans="1:5" ht="15.75" thickTop="1">
      <c r="A146" s="99" t="s">
        <v>56</v>
      </c>
      <c r="B146" s="99" t="s">
        <v>39</v>
      </c>
      <c r="C146" s="100" t="s">
        <v>210</v>
      </c>
      <c r="D146" s="100" t="s">
        <v>192</v>
      </c>
      <c r="E146" s="186" t="s">
        <v>244</v>
      </c>
    </row>
    <row r="147" spans="1:5" ht="15">
      <c r="A147" s="92"/>
      <c r="B147" s="92"/>
      <c r="C147" s="97" t="s">
        <v>243</v>
      </c>
      <c r="D147" s="97" t="s">
        <v>178</v>
      </c>
      <c r="E147" s="187"/>
    </row>
    <row r="148" spans="1:5" ht="15">
      <c r="A148" s="92"/>
      <c r="B148" s="97"/>
      <c r="C148" s="97" t="s">
        <v>82</v>
      </c>
      <c r="D148" s="97" t="s">
        <v>193</v>
      </c>
      <c r="E148" s="187"/>
    </row>
    <row r="149" spans="1:5" ht="15">
      <c r="A149" s="92"/>
      <c r="B149" s="93"/>
      <c r="C149" s="97" t="s">
        <v>225</v>
      </c>
      <c r="D149" s="97" t="s">
        <v>193</v>
      </c>
      <c r="E149" s="187"/>
    </row>
    <row r="150" spans="1:5" ht="15">
      <c r="A150" s="92"/>
      <c r="B150" s="93"/>
      <c r="C150" s="97" t="s">
        <v>164</v>
      </c>
      <c r="D150" s="97" t="s">
        <v>179</v>
      </c>
      <c r="E150" s="187"/>
    </row>
    <row r="151" spans="1:5" ht="15">
      <c r="A151" s="92"/>
      <c r="B151" s="93"/>
      <c r="C151" s="97" t="s">
        <v>212</v>
      </c>
      <c r="D151" s="97" t="s">
        <v>179</v>
      </c>
      <c r="E151" s="187"/>
    </row>
    <row r="152" spans="1:5" ht="15">
      <c r="A152" s="92"/>
      <c r="B152" s="93"/>
      <c r="C152" s="97" t="s">
        <v>165</v>
      </c>
      <c r="D152" s="97" t="s">
        <v>172</v>
      </c>
      <c r="E152" s="187"/>
    </row>
    <row r="153" spans="1:5" ht="15.75" thickBot="1">
      <c r="A153" s="92"/>
      <c r="B153" s="93"/>
      <c r="C153" s="97" t="s">
        <v>166</v>
      </c>
      <c r="D153" s="97" t="s">
        <v>173</v>
      </c>
      <c r="E153" s="187"/>
    </row>
    <row r="154" spans="1:5" ht="30.75" thickTop="1">
      <c r="A154" s="109" t="s">
        <v>83</v>
      </c>
      <c r="B154" s="109" t="s">
        <v>77</v>
      </c>
      <c r="C154" s="110" t="s">
        <v>245</v>
      </c>
      <c r="D154" s="110" t="s">
        <v>178</v>
      </c>
      <c r="E154" s="184" t="s">
        <v>247</v>
      </c>
    </row>
    <row r="155" spans="1:5" ht="15">
      <c r="A155" s="103"/>
      <c r="B155" s="103"/>
      <c r="C155" s="104" t="s">
        <v>183</v>
      </c>
      <c r="D155" s="104" t="s">
        <v>169</v>
      </c>
      <c r="E155" s="185"/>
    </row>
    <row r="156" spans="1:5" ht="15">
      <c r="A156" s="103"/>
      <c r="B156" s="105"/>
      <c r="C156" s="104" t="s">
        <v>207</v>
      </c>
      <c r="D156" s="104" t="s">
        <v>169</v>
      </c>
      <c r="E156" s="185"/>
    </row>
    <row r="157" spans="1:5" ht="15">
      <c r="A157" s="103"/>
      <c r="B157" s="105"/>
      <c r="C157" s="104" t="s">
        <v>82</v>
      </c>
      <c r="D157" s="104" t="s">
        <v>246</v>
      </c>
      <c r="E157" s="185"/>
    </row>
    <row r="158" spans="1:5" ht="15">
      <c r="A158" s="103"/>
      <c r="B158" s="105"/>
      <c r="C158" s="104" t="s">
        <v>164</v>
      </c>
      <c r="D158" s="104" t="s">
        <v>179</v>
      </c>
      <c r="E158" s="185"/>
    </row>
    <row r="159" spans="1:5" ht="15">
      <c r="A159" s="103"/>
      <c r="B159" s="105"/>
      <c r="C159" s="104" t="s">
        <v>165</v>
      </c>
      <c r="D159" s="104" t="s">
        <v>172</v>
      </c>
      <c r="E159" s="185"/>
    </row>
    <row r="160" spans="1:5" ht="15">
      <c r="A160" s="103"/>
      <c r="B160" s="105"/>
      <c r="C160" s="104" t="s">
        <v>166</v>
      </c>
      <c r="D160" s="104" t="s">
        <v>173</v>
      </c>
      <c r="E160" s="185"/>
    </row>
    <row r="161" spans="1:5" ht="15.75" thickBot="1">
      <c r="A161" s="103"/>
      <c r="B161" s="105"/>
      <c r="C161" s="104" t="s">
        <v>167</v>
      </c>
      <c r="D161" s="104" t="s">
        <v>174</v>
      </c>
      <c r="E161" s="185"/>
    </row>
    <row r="162" spans="1:5" ht="15.75" thickTop="1">
      <c r="A162" s="99" t="s">
        <v>57</v>
      </c>
      <c r="B162" s="99" t="s">
        <v>248</v>
      </c>
      <c r="C162" s="100" t="s">
        <v>84</v>
      </c>
      <c r="D162" s="100" t="s">
        <v>192</v>
      </c>
      <c r="E162" s="186" t="s">
        <v>250</v>
      </c>
    </row>
    <row r="163" spans="1:5" ht="15">
      <c r="A163" s="92"/>
      <c r="B163" s="92"/>
      <c r="C163" s="97" t="s">
        <v>210</v>
      </c>
      <c r="D163" s="97" t="s">
        <v>169</v>
      </c>
      <c r="E163" s="187"/>
    </row>
    <row r="164" spans="1:5" ht="15">
      <c r="A164" s="92"/>
      <c r="B164" s="97"/>
      <c r="C164" s="97" t="s">
        <v>183</v>
      </c>
      <c r="D164" s="97" t="s">
        <v>193</v>
      </c>
      <c r="E164" s="187"/>
    </row>
    <row r="165" spans="1:5" ht="15">
      <c r="A165" s="92"/>
      <c r="B165" s="93"/>
      <c r="C165" s="97" t="s">
        <v>191</v>
      </c>
      <c r="D165" s="97" t="s">
        <v>249</v>
      </c>
      <c r="E165" s="187"/>
    </row>
    <row r="166" spans="1:5" ht="15">
      <c r="A166" s="92"/>
      <c r="B166" s="93"/>
      <c r="C166" s="97" t="s">
        <v>82</v>
      </c>
      <c r="D166" s="97" t="s">
        <v>193</v>
      </c>
      <c r="E166" s="187"/>
    </row>
    <row r="167" spans="1:5" ht="15">
      <c r="A167" s="92"/>
      <c r="B167" s="93"/>
      <c r="C167" s="97" t="s">
        <v>225</v>
      </c>
      <c r="D167" s="97" t="s">
        <v>193</v>
      </c>
      <c r="E167" s="187"/>
    </row>
    <row r="168" spans="1:5" ht="15">
      <c r="A168" s="92"/>
      <c r="B168" s="93"/>
      <c r="C168" s="97" t="s">
        <v>164</v>
      </c>
      <c r="D168" s="97" t="s">
        <v>179</v>
      </c>
      <c r="E168" s="187"/>
    </row>
    <row r="169" spans="1:5" ht="15">
      <c r="A169" s="92"/>
      <c r="B169" s="93"/>
      <c r="C169" s="97" t="s">
        <v>165</v>
      </c>
      <c r="D169" s="97" t="s">
        <v>172</v>
      </c>
      <c r="E169" s="187"/>
    </row>
    <row r="170" spans="1:5" ht="15.75" thickBot="1">
      <c r="A170" s="92"/>
      <c r="B170" s="93"/>
      <c r="C170" s="97" t="s">
        <v>166</v>
      </c>
      <c r="D170" s="97" t="s">
        <v>173</v>
      </c>
      <c r="E170" s="187"/>
    </row>
    <row r="171" spans="1:5" ht="15.75" thickTop="1">
      <c r="A171" s="109" t="s">
        <v>58</v>
      </c>
      <c r="B171" s="109" t="s">
        <v>133</v>
      </c>
      <c r="C171" s="110" t="s">
        <v>183</v>
      </c>
      <c r="D171" s="110" t="s">
        <v>192</v>
      </c>
      <c r="E171" s="184" t="s">
        <v>251</v>
      </c>
    </row>
    <row r="172" spans="1:5" ht="15">
      <c r="A172" s="103"/>
      <c r="B172" s="103"/>
      <c r="C172" s="104" t="s">
        <v>133</v>
      </c>
      <c r="D172" s="104" t="s">
        <v>169</v>
      </c>
      <c r="E172" s="185"/>
    </row>
    <row r="173" spans="1:5" ht="15">
      <c r="A173" s="103"/>
      <c r="B173" s="111"/>
      <c r="C173" s="104" t="s">
        <v>82</v>
      </c>
      <c r="D173" s="104" t="s">
        <v>193</v>
      </c>
      <c r="E173" s="185"/>
    </row>
    <row r="174" spans="1:5" ht="15">
      <c r="A174" s="103"/>
      <c r="B174" s="104"/>
      <c r="C174" s="104" t="s">
        <v>164</v>
      </c>
      <c r="D174" s="104" t="s">
        <v>179</v>
      </c>
      <c r="E174" s="185"/>
    </row>
    <row r="175" spans="1:5" ht="15">
      <c r="A175" s="103"/>
      <c r="B175" s="105"/>
      <c r="C175" s="104" t="s">
        <v>165</v>
      </c>
      <c r="D175" s="104" t="s">
        <v>172</v>
      </c>
      <c r="E175" s="185"/>
    </row>
    <row r="176" spans="1:5" ht="15">
      <c r="A176" s="103"/>
      <c r="B176" s="105"/>
      <c r="C176" s="104" t="s">
        <v>166</v>
      </c>
      <c r="D176" s="104" t="s">
        <v>173</v>
      </c>
      <c r="E176" s="185"/>
    </row>
    <row r="177" spans="1:5" ht="15.75" thickBot="1">
      <c r="A177" s="103"/>
      <c r="B177" s="105"/>
      <c r="C177" s="104" t="s">
        <v>167</v>
      </c>
      <c r="D177" s="104" t="s">
        <v>174</v>
      </c>
      <c r="E177" s="185"/>
    </row>
    <row r="178" spans="1:5" ht="30.75" thickTop="1">
      <c r="A178" s="99" t="s">
        <v>59</v>
      </c>
      <c r="B178" s="99" t="s">
        <v>720</v>
      </c>
      <c r="C178" s="100" t="s">
        <v>183</v>
      </c>
      <c r="D178" s="100" t="s">
        <v>192</v>
      </c>
      <c r="E178" s="186" t="s">
        <v>252</v>
      </c>
    </row>
    <row r="179" spans="1:5" ht="15">
      <c r="A179" s="92"/>
      <c r="B179" s="92"/>
      <c r="C179" s="97" t="s">
        <v>35</v>
      </c>
      <c r="D179" s="97" t="s">
        <v>178</v>
      </c>
      <c r="E179" s="187"/>
    </row>
    <row r="180" spans="1:5" ht="15">
      <c r="A180" s="92"/>
      <c r="B180" s="112"/>
      <c r="C180" s="97" t="s">
        <v>27</v>
      </c>
      <c r="D180" s="97" t="s">
        <v>169</v>
      </c>
      <c r="E180" s="187"/>
    </row>
    <row r="181" spans="1:5" ht="15">
      <c r="A181" s="92"/>
      <c r="B181" s="93"/>
      <c r="C181" s="97" t="s">
        <v>82</v>
      </c>
      <c r="D181" s="97" t="s">
        <v>193</v>
      </c>
      <c r="E181" s="187"/>
    </row>
    <row r="182" spans="1:5" ht="15">
      <c r="A182" s="92"/>
      <c r="B182" s="93"/>
      <c r="C182" s="97" t="s">
        <v>164</v>
      </c>
      <c r="D182" s="97" t="s">
        <v>179</v>
      </c>
      <c r="E182" s="187"/>
    </row>
    <row r="183" spans="1:5" ht="15">
      <c r="A183" s="92"/>
      <c r="B183" s="93"/>
      <c r="C183" s="97" t="s">
        <v>165</v>
      </c>
      <c r="D183" s="97" t="s">
        <v>172</v>
      </c>
      <c r="E183" s="187"/>
    </row>
    <row r="184" spans="1:5" ht="15">
      <c r="A184" s="92"/>
      <c r="B184" s="93"/>
      <c r="C184" s="97" t="s">
        <v>167</v>
      </c>
      <c r="D184" s="97" t="s">
        <v>174</v>
      </c>
      <c r="E184" s="187"/>
    </row>
    <row r="185" spans="1:5" ht="15.75" thickBot="1">
      <c r="A185" s="92"/>
      <c r="B185" s="93"/>
      <c r="C185" s="97" t="s">
        <v>166</v>
      </c>
      <c r="D185" s="97" t="s">
        <v>173</v>
      </c>
      <c r="E185" s="187"/>
    </row>
    <row r="186" spans="1:5" ht="30.75" thickTop="1">
      <c r="A186" s="109" t="s">
        <v>60</v>
      </c>
      <c r="B186" s="109" t="s">
        <v>135</v>
      </c>
      <c r="C186" s="110" t="s">
        <v>183</v>
      </c>
      <c r="D186" s="110" t="s">
        <v>192</v>
      </c>
      <c r="E186" s="184" t="s">
        <v>254</v>
      </c>
    </row>
    <row r="187" spans="1:5" ht="15">
      <c r="A187" s="103"/>
      <c r="B187" s="103"/>
      <c r="C187" s="104" t="s">
        <v>82</v>
      </c>
      <c r="D187" s="104" t="s">
        <v>186</v>
      </c>
      <c r="E187" s="185"/>
    </row>
    <row r="188" spans="1:5" ht="15">
      <c r="A188" s="103"/>
      <c r="B188" s="111"/>
      <c r="C188" s="104" t="s">
        <v>253</v>
      </c>
      <c r="D188" s="104" t="s">
        <v>169</v>
      </c>
      <c r="E188" s="185"/>
    </row>
    <row r="189" spans="1:5" ht="15">
      <c r="A189" s="103"/>
      <c r="B189" s="111"/>
      <c r="C189" s="104" t="s">
        <v>164</v>
      </c>
      <c r="D189" s="104" t="s">
        <v>179</v>
      </c>
      <c r="E189" s="185"/>
    </row>
    <row r="190" spans="1:5" ht="15">
      <c r="A190" s="103"/>
      <c r="B190" s="105"/>
      <c r="C190" s="104" t="s">
        <v>165</v>
      </c>
      <c r="D190" s="104" t="s">
        <v>172</v>
      </c>
      <c r="E190" s="185"/>
    </row>
    <row r="191" spans="1:5" ht="15">
      <c r="A191" s="103"/>
      <c r="B191" s="105"/>
      <c r="C191" s="104" t="s">
        <v>167</v>
      </c>
      <c r="D191" s="104" t="s">
        <v>174</v>
      </c>
      <c r="E191" s="185"/>
    </row>
    <row r="192" spans="1:5" ht="15.75" thickBot="1">
      <c r="A192" s="103"/>
      <c r="B192" s="105"/>
      <c r="C192" s="104" t="s">
        <v>166</v>
      </c>
      <c r="D192" s="104" t="s">
        <v>173</v>
      </c>
      <c r="E192" s="185"/>
    </row>
    <row r="193" spans="1:5" ht="60.75" thickTop="1">
      <c r="A193" s="99" t="s">
        <v>61</v>
      </c>
      <c r="B193" s="99" t="s">
        <v>255</v>
      </c>
      <c r="C193" s="100" t="s">
        <v>183</v>
      </c>
      <c r="D193" s="100" t="s">
        <v>192</v>
      </c>
      <c r="E193" s="186" t="s">
        <v>258</v>
      </c>
    </row>
    <row r="194" spans="1:5" ht="15">
      <c r="A194" s="92"/>
      <c r="B194" s="92"/>
      <c r="C194" s="97" t="s">
        <v>256</v>
      </c>
      <c r="D194" s="97" t="s">
        <v>169</v>
      </c>
      <c r="E194" s="187"/>
    </row>
    <row r="195" spans="1:5" ht="15">
      <c r="A195" s="92"/>
      <c r="B195" s="92"/>
      <c r="C195" s="97" t="s">
        <v>257</v>
      </c>
      <c r="D195" s="97" t="s">
        <v>169</v>
      </c>
      <c r="E195" s="187"/>
    </row>
    <row r="196" spans="1:5" ht="15">
      <c r="A196" s="92"/>
      <c r="B196" s="93"/>
      <c r="C196" s="97" t="s">
        <v>82</v>
      </c>
      <c r="D196" s="97" t="s">
        <v>193</v>
      </c>
      <c r="E196" s="187"/>
    </row>
    <row r="197" spans="1:5" ht="15">
      <c r="A197" s="92"/>
      <c r="B197" s="93"/>
      <c r="C197" s="97" t="s">
        <v>164</v>
      </c>
      <c r="D197" s="97" t="s">
        <v>179</v>
      </c>
      <c r="E197" s="187"/>
    </row>
    <row r="198" spans="1:5" ht="15">
      <c r="A198" s="92"/>
      <c r="B198" s="93"/>
      <c r="C198" s="97" t="s">
        <v>165</v>
      </c>
      <c r="D198" s="97" t="s">
        <v>172</v>
      </c>
      <c r="E198" s="187"/>
    </row>
    <row r="199" spans="1:5" ht="15">
      <c r="A199" s="92"/>
      <c r="B199" s="93"/>
      <c r="C199" s="97" t="s">
        <v>167</v>
      </c>
      <c r="D199" s="97" t="s">
        <v>174</v>
      </c>
      <c r="E199" s="187"/>
    </row>
    <row r="200" spans="1:5" ht="15.75" thickBot="1">
      <c r="A200" s="92"/>
      <c r="B200" s="93"/>
      <c r="C200" s="97" t="s">
        <v>166</v>
      </c>
      <c r="D200" s="97" t="s">
        <v>173</v>
      </c>
      <c r="E200" s="187"/>
    </row>
    <row r="201" spans="1:5" ht="60.75" thickTop="1">
      <c r="A201" s="109" t="s">
        <v>62</v>
      </c>
      <c r="B201" s="109" t="s">
        <v>259</v>
      </c>
      <c r="C201" s="110" t="s">
        <v>183</v>
      </c>
      <c r="D201" s="110" t="s">
        <v>192</v>
      </c>
      <c r="E201" s="184" t="s">
        <v>261</v>
      </c>
    </row>
    <row r="202" spans="1:5" ht="45">
      <c r="A202" s="103"/>
      <c r="B202" s="103"/>
      <c r="C202" s="104" t="s">
        <v>260</v>
      </c>
      <c r="D202" s="104" t="s">
        <v>178</v>
      </c>
      <c r="E202" s="185"/>
    </row>
    <row r="203" spans="1:5" ht="15">
      <c r="A203" s="103"/>
      <c r="B203" s="105"/>
      <c r="C203" s="104" t="s">
        <v>175</v>
      </c>
      <c r="D203" s="104" t="s">
        <v>169</v>
      </c>
      <c r="E203" s="185"/>
    </row>
    <row r="204" spans="1:5" ht="15">
      <c r="A204" s="103"/>
      <c r="B204" s="105"/>
      <c r="C204" s="104" t="s">
        <v>82</v>
      </c>
      <c r="D204" s="104" t="s">
        <v>193</v>
      </c>
      <c r="E204" s="185"/>
    </row>
    <row r="205" spans="1:5" ht="15">
      <c r="A205" s="103"/>
      <c r="B205" s="105"/>
      <c r="C205" s="104" t="s">
        <v>164</v>
      </c>
      <c r="D205" s="104" t="s">
        <v>179</v>
      </c>
      <c r="E205" s="185"/>
    </row>
    <row r="206" spans="1:5" ht="15">
      <c r="A206" s="103"/>
      <c r="B206" s="105"/>
      <c r="C206" s="104" t="s">
        <v>165</v>
      </c>
      <c r="D206" s="104" t="s">
        <v>172</v>
      </c>
      <c r="E206" s="185"/>
    </row>
    <row r="207" spans="1:5" ht="15.75" thickBot="1">
      <c r="A207" s="103"/>
      <c r="B207" s="105"/>
      <c r="C207" s="104" t="s">
        <v>166</v>
      </c>
      <c r="D207" s="104" t="s">
        <v>173</v>
      </c>
      <c r="E207" s="185"/>
    </row>
    <row r="208" spans="1:5" ht="15.75" thickTop="1">
      <c r="A208" s="99" t="s">
        <v>63</v>
      </c>
      <c r="B208" s="99" t="s">
        <v>40</v>
      </c>
      <c r="C208" s="100" t="s">
        <v>183</v>
      </c>
      <c r="D208" s="100" t="s">
        <v>192</v>
      </c>
      <c r="E208" s="186" t="s">
        <v>244</v>
      </c>
    </row>
    <row r="209" spans="1:5" ht="15">
      <c r="A209" s="92"/>
      <c r="B209" s="92"/>
      <c r="C209" s="97" t="s">
        <v>191</v>
      </c>
      <c r="D209" s="97" t="s">
        <v>203</v>
      </c>
      <c r="E209" s="187"/>
    </row>
    <row r="210" spans="1:5" ht="15">
      <c r="A210" s="92"/>
      <c r="B210" s="112"/>
      <c r="C210" s="97" t="s">
        <v>39</v>
      </c>
      <c r="D210" s="97" t="s">
        <v>169</v>
      </c>
      <c r="E210" s="187"/>
    </row>
    <row r="211" spans="1:5" ht="15">
      <c r="A211" s="92"/>
      <c r="B211" s="93"/>
      <c r="C211" s="97" t="s">
        <v>82</v>
      </c>
      <c r="D211" s="97" t="s">
        <v>193</v>
      </c>
      <c r="E211" s="187"/>
    </row>
    <row r="212" spans="1:5" ht="15">
      <c r="A212" s="92"/>
      <c r="B212" s="93"/>
      <c r="C212" s="97" t="s">
        <v>164</v>
      </c>
      <c r="D212" s="97" t="s">
        <v>179</v>
      </c>
      <c r="E212" s="187"/>
    </row>
    <row r="213" spans="1:5" ht="15">
      <c r="A213" s="92"/>
      <c r="B213" s="93"/>
      <c r="C213" s="97" t="s">
        <v>212</v>
      </c>
      <c r="D213" s="97" t="s">
        <v>179</v>
      </c>
      <c r="E213" s="187"/>
    </row>
    <row r="214" spans="1:5" ht="15">
      <c r="A214" s="92"/>
      <c r="B214" s="93"/>
      <c r="C214" s="97" t="s">
        <v>165</v>
      </c>
      <c r="D214" s="97" t="s">
        <v>172</v>
      </c>
      <c r="E214" s="187"/>
    </row>
    <row r="215" spans="1:5" ht="15">
      <c r="A215" s="92"/>
      <c r="B215" s="93"/>
      <c r="C215" s="97" t="s">
        <v>166</v>
      </c>
      <c r="D215" s="97" t="s">
        <v>173</v>
      </c>
      <c r="E215" s="187"/>
    </row>
    <row r="216" spans="1:5" ht="15.75" thickBot="1">
      <c r="A216" s="92"/>
      <c r="B216" s="93"/>
      <c r="C216" s="97" t="s">
        <v>167</v>
      </c>
      <c r="D216" s="97" t="s">
        <v>174</v>
      </c>
      <c r="E216" s="187"/>
    </row>
    <row r="217" spans="1:5" ht="60.75" thickTop="1">
      <c r="A217" s="109" t="s">
        <v>64</v>
      </c>
      <c r="B217" s="109" t="s">
        <v>262</v>
      </c>
      <c r="C217" s="110" t="s">
        <v>183</v>
      </c>
      <c r="D217" s="110" t="s">
        <v>192</v>
      </c>
      <c r="E217" s="184" t="s">
        <v>263</v>
      </c>
    </row>
    <row r="218" spans="1:5" ht="15">
      <c r="A218" s="103"/>
      <c r="B218" s="103"/>
      <c r="C218" s="104" t="s">
        <v>35</v>
      </c>
      <c r="D218" s="104" t="s">
        <v>186</v>
      </c>
      <c r="E218" s="185"/>
    </row>
    <row r="219" spans="1:5" ht="15">
      <c r="A219" s="103"/>
      <c r="B219" s="105"/>
      <c r="C219" s="104" t="s">
        <v>197</v>
      </c>
      <c r="D219" s="104" t="s">
        <v>169</v>
      </c>
      <c r="E219" s="185"/>
    </row>
    <row r="220" spans="1:5" ht="15">
      <c r="A220" s="103"/>
      <c r="B220" s="105"/>
      <c r="C220" s="104" t="s">
        <v>52</v>
      </c>
      <c r="D220" s="104" t="s">
        <v>169</v>
      </c>
      <c r="E220" s="185"/>
    </row>
    <row r="221" spans="1:5" ht="15">
      <c r="A221" s="103"/>
      <c r="B221" s="105"/>
      <c r="C221" s="104" t="s">
        <v>165</v>
      </c>
      <c r="D221" s="104" t="s">
        <v>172</v>
      </c>
      <c r="E221" s="185"/>
    </row>
    <row r="222" spans="1:5" ht="15">
      <c r="A222" s="103"/>
      <c r="B222" s="105"/>
      <c r="C222" s="104" t="s">
        <v>166</v>
      </c>
      <c r="D222" s="104" t="s">
        <v>173</v>
      </c>
      <c r="E222" s="185"/>
    </row>
    <row r="223" spans="1:5" ht="15.75" thickBot="1">
      <c r="A223" s="103"/>
      <c r="B223" s="105"/>
      <c r="C223" s="104" t="s">
        <v>167</v>
      </c>
      <c r="D223" s="104" t="s">
        <v>174</v>
      </c>
      <c r="E223" s="185"/>
    </row>
    <row r="224" spans="1:5" ht="30.75" thickTop="1">
      <c r="A224" s="99" t="s">
        <v>65</v>
      </c>
      <c r="B224" s="99" t="s">
        <v>36</v>
      </c>
      <c r="C224" s="100" t="s">
        <v>183</v>
      </c>
      <c r="D224" s="100" t="s">
        <v>192</v>
      </c>
      <c r="E224" s="186" t="s">
        <v>264</v>
      </c>
    </row>
    <row r="225" spans="1:5" ht="15">
      <c r="A225" s="92"/>
      <c r="B225" s="92"/>
      <c r="C225" s="97" t="s">
        <v>191</v>
      </c>
      <c r="D225" s="97" t="s">
        <v>203</v>
      </c>
      <c r="E225" s="187"/>
    </row>
    <row r="226" spans="1:5" ht="15">
      <c r="A226" s="92"/>
      <c r="B226" s="112"/>
      <c r="C226" s="97" t="s">
        <v>82</v>
      </c>
      <c r="D226" s="97" t="s">
        <v>186</v>
      </c>
      <c r="E226" s="187"/>
    </row>
    <row r="227" spans="1:5" ht="15">
      <c r="A227" s="92"/>
      <c r="B227" s="93"/>
      <c r="C227" s="97" t="s">
        <v>39</v>
      </c>
      <c r="D227" s="97" t="s">
        <v>169</v>
      </c>
      <c r="E227" s="187"/>
    </row>
    <row r="228" spans="1:5" ht="15">
      <c r="A228" s="92"/>
      <c r="B228" s="93"/>
      <c r="C228" s="97" t="s">
        <v>225</v>
      </c>
      <c r="D228" s="97" t="s">
        <v>193</v>
      </c>
      <c r="E228" s="187"/>
    </row>
    <row r="229" spans="1:5" ht="15">
      <c r="A229" s="92"/>
      <c r="B229" s="93"/>
      <c r="C229" s="97" t="s">
        <v>164</v>
      </c>
      <c r="D229" s="97" t="s">
        <v>179</v>
      </c>
      <c r="E229" s="187"/>
    </row>
    <row r="230" spans="1:5" ht="15">
      <c r="A230" s="92"/>
      <c r="B230" s="93"/>
      <c r="C230" s="97" t="s">
        <v>165</v>
      </c>
      <c r="D230" s="97" t="s">
        <v>172</v>
      </c>
      <c r="E230" s="187"/>
    </row>
    <row r="231" spans="1:5" ht="15.75" thickBot="1">
      <c r="A231" s="92"/>
      <c r="B231" s="93"/>
      <c r="C231" s="97" t="s">
        <v>166</v>
      </c>
      <c r="D231" s="97" t="s">
        <v>173</v>
      </c>
      <c r="E231" s="187"/>
    </row>
    <row r="232" spans="1:5" ht="15.75" thickTop="1">
      <c r="A232" s="109" t="s">
        <v>66</v>
      </c>
      <c r="B232" s="109" t="s">
        <v>79</v>
      </c>
      <c r="C232" s="110" t="s">
        <v>183</v>
      </c>
      <c r="D232" s="110" t="s">
        <v>192</v>
      </c>
      <c r="E232" s="184" t="s">
        <v>265</v>
      </c>
    </row>
    <row r="233" spans="1:5" ht="15">
      <c r="A233" s="103"/>
      <c r="B233" s="103"/>
      <c r="C233" s="104" t="s">
        <v>234</v>
      </c>
      <c r="D233" s="104" t="s">
        <v>169</v>
      </c>
      <c r="E233" s="185"/>
    </row>
    <row r="234" spans="1:5" ht="15">
      <c r="A234" s="103"/>
      <c r="B234" s="111"/>
      <c r="C234" s="104" t="s">
        <v>82</v>
      </c>
      <c r="D234" s="104" t="s">
        <v>193</v>
      </c>
      <c r="E234" s="185"/>
    </row>
    <row r="235" spans="1:5" ht="15">
      <c r="A235" s="103"/>
      <c r="B235" s="105"/>
      <c r="C235" s="104" t="s">
        <v>164</v>
      </c>
      <c r="D235" s="104" t="s">
        <v>179</v>
      </c>
      <c r="E235" s="185"/>
    </row>
    <row r="236" spans="1:5" ht="15">
      <c r="A236" s="103"/>
      <c r="B236" s="105"/>
      <c r="C236" s="104" t="s">
        <v>212</v>
      </c>
      <c r="D236" s="104" t="s">
        <v>179</v>
      </c>
      <c r="E236" s="185"/>
    </row>
    <row r="237" spans="1:5" ht="15">
      <c r="A237" s="103"/>
      <c r="B237" s="105"/>
      <c r="C237" s="104" t="s">
        <v>165</v>
      </c>
      <c r="D237" s="104" t="s">
        <v>172</v>
      </c>
      <c r="E237" s="185"/>
    </row>
    <row r="238" spans="1:5" ht="15">
      <c r="A238" s="103"/>
      <c r="B238" s="105"/>
      <c r="C238" s="104" t="s">
        <v>166</v>
      </c>
      <c r="D238" s="104" t="s">
        <v>173</v>
      </c>
      <c r="E238" s="185"/>
    </row>
    <row r="239" spans="1:5" ht="15.75" thickBot="1">
      <c r="A239" s="103"/>
      <c r="B239" s="105"/>
      <c r="C239" s="104" t="s">
        <v>167</v>
      </c>
      <c r="D239" s="104" t="s">
        <v>174</v>
      </c>
      <c r="E239" s="185"/>
    </row>
    <row r="240" spans="1:5" ht="30.75" thickTop="1">
      <c r="A240" s="99" t="s">
        <v>67</v>
      </c>
      <c r="B240" s="99" t="s">
        <v>125</v>
      </c>
      <c r="C240" s="100" t="s">
        <v>183</v>
      </c>
      <c r="D240" s="100" t="s">
        <v>192</v>
      </c>
      <c r="E240" s="186" t="s">
        <v>266</v>
      </c>
    </row>
    <row r="241" spans="1:5" ht="15">
      <c r="A241" s="92"/>
      <c r="B241" s="92"/>
      <c r="C241" s="97" t="s">
        <v>35</v>
      </c>
      <c r="D241" s="97" t="s">
        <v>178</v>
      </c>
      <c r="E241" s="187"/>
    </row>
    <row r="242" spans="1:5" ht="15">
      <c r="A242" s="92"/>
      <c r="B242" s="93"/>
      <c r="C242" s="97" t="s">
        <v>82</v>
      </c>
      <c r="D242" s="97" t="s">
        <v>186</v>
      </c>
      <c r="E242" s="187"/>
    </row>
    <row r="243" spans="1:5" ht="15">
      <c r="A243" s="92"/>
      <c r="B243" s="93"/>
      <c r="C243" s="97" t="s">
        <v>164</v>
      </c>
      <c r="D243" s="97" t="s">
        <v>179</v>
      </c>
      <c r="E243" s="187"/>
    </row>
    <row r="244" spans="1:5" ht="15">
      <c r="A244" s="92"/>
      <c r="B244" s="93"/>
      <c r="C244" s="97" t="s">
        <v>212</v>
      </c>
      <c r="D244" s="97" t="s">
        <v>179</v>
      </c>
      <c r="E244" s="187"/>
    </row>
    <row r="245" spans="1:5" ht="15">
      <c r="A245" s="92"/>
      <c r="B245" s="93"/>
      <c r="C245" s="97" t="s">
        <v>165</v>
      </c>
      <c r="D245" s="97" t="s">
        <v>172</v>
      </c>
      <c r="E245" s="187"/>
    </row>
    <row r="246" spans="1:5" ht="15">
      <c r="A246" s="92"/>
      <c r="B246" s="93"/>
      <c r="C246" s="97" t="s">
        <v>166</v>
      </c>
      <c r="D246" s="97" t="s">
        <v>173</v>
      </c>
      <c r="E246" s="187"/>
    </row>
    <row r="247" spans="1:5" ht="15.75" thickBot="1">
      <c r="A247" s="92"/>
      <c r="B247" s="93"/>
      <c r="C247" s="97" t="s">
        <v>167</v>
      </c>
      <c r="D247" s="97" t="s">
        <v>174</v>
      </c>
      <c r="E247" s="187"/>
    </row>
    <row r="248" spans="1:5" ht="60.75" thickTop="1">
      <c r="A248" s="109" t="s">
        <v>68</v>
      </c>
      <c r="B248" s="109" t="s">
        <v>277</v>
      </c>
      <c r="C248" s="110" t="s">
        <v>210</v>
      </c>
      <c r="D248" s="110" t="s">
        <v>192</v>
      </c>
      <c r="E248" s="184" t="s">
        <v>268</v>
      </c>
    </row>
    <row r="249" spans="1:5" ht="15">
      <c r="A249" s="103"/>
      <c r="B249" s="103"/>
      <c r="C249" s="104" t="s">
        <v>39</v>
      </c>
      <c r="D249" s="104"/>
      <c r="E249" s="185"/>
    </row>
    <row r="250" spans="1:5" ht="15">
      <c r="A250" s="103"/>
      <c r="B250" s="111"/>
      <c r="C250" s="104" t="s">
        <v>267</v>
      </c>
      <c r="D250" s="104" t="s">
        <v>178</v>
      </c>
      <c r="E250" s="185"/>
    </row>
    <row r="251" spans="1:5" ht="15">
      <c r="A251" s="103"/>
      <c r="B251" s="105"/>
      <c r="C251" s="104" t="s">
        <v>129</v>
      </c>
      <c r="D251" s="104"/>
      <c r="E251" s="185"/>
    </row>
    <row r="252" spans="1:5" ht="15">
      <c r="A252" s="103"/>
      <c r="B252" s="105"/>
      <c r="C252" s="104" t="s">
        <v>82</v>
      </c>
      <c r="D252" s="104"/>
      <c r="E252" s="185"/>
    </row>
    <row r="253" spans="1:5" ht="15">
      <c r="A253" s="103"/>
      <c r="B253" s="105"/>
      <c r="C253" s="104" t="s">
        <v>164</v>
      </c>
      <c r="D253" s="104" t="s">
        <v>178</v>
      </c>
      <c r="E253" s="185"/>
    </row>
    <row r="254" spans="1:5" ht="15">
      <c r="A254" s="103"/>
      <c r="B254" s="105"/>
      <c r="C254" s="104" t="s">
        <v>212</v>
      </c>
      <c r="D254" s="104" t="s">
        <v>186</v>
      </c>
      <c r="E254" s="185"/>
    </row>
    <row r="255" spans="1:5" ht="15">
      <c r="A255" s="103"/>
      <c r="B255" s="105"/>
      <c r="C255" s="104" t="s">
        <v>165</v>
      </c>
      <c r="D255" s="104" t="s">
        <v>179</v>
      </c>
      <c r="E255" s="185"/>
    </row>
    <row r="256" spans="1:5" ht="15">
      <c r="A256" s="103"/>
      <c r="B256" s="105"/>
      <c r="C256" s="104"/>
      <c r="D256" s="104" t="s">
        <v>179</v>
      </c>
      <c r="E256" s="185"/>
    </row>
    <row r="257" spans="1:5" ht="15">
      <c r="A257" s="103"/>
      <c r="B257" s="105"/>
      <c r="C257" s="104" t="s">
        <v>166</v>
      </c>
      <c r="D257" s="104" t="s">
        <v>172</v>
      </c>
      <c r="E257" s="185"/>
    </row>
    <row r="258" spans="1:5" ht="15">
      <c r="A258" s="103"/>
      <c r="B258" s="105"/>
      <c r="C258" s="104" t="s">
        <v>167</v>
      </c>
      <c r="D258" s="104" t="s">
        <v>173</v>
      </c>
      <c r="E258" s="185"/>
    </row>
    <row r="259" spans="1:5" ht="15.75" thickBot="1">
      <c r="A259" s="103"/>
      <c r="B259" s="105"/>
      <c r="C259" s="105"/>
      <c r="D259" s="104" t="s">
        <v>174</v>
      </c>
      <c r="E259" s="185"/>
    </row>
    <row r="260" spans="1:5" ht="60.75" thickTop="1">
      <c r="A260" s="99" t="s">
        <v>69</v>
      </c>
      <c r="B260" s="99" t="s">
        <v>269</v>
      </c>
      <c r="C260" s="100" t="s">
        <v>210</v>
      </c>
      <c r="D260" s="100" t="s">
        <v>192</v>
      </c>
      <c r="E260" s="186" t="s">
        <v>270</v>
      </c>
    </row>
    <row r="261" spans="1:5" ht="15">
      <c r="A261" s="92"/>
      <c r="B261" s="92"/>
      <c r="C261" s="97" t="s">
        <v>39</v>
      </c>
      <c r="D261" s="97" t="s">
        <v>178</v>
      </c>
      <c r="E261" s="187"/>
    </row>
    <row r="262" spans="1:5" ht="15">
      <c r="A262" s="92"/>
      <c r="B262" s="93"/>
      <c r="C262" s="97" t="s">
        <v>267</v>
      </c>
      <c r="D262" s="97" t="s">
        <v>178</v>
      </c>
      <c r="E262" s="187"/>
    </row>
    <row r="263" spans="1:5" ht="15">
      <c r="A263" s="92"/>
      <c r="B263" s="93"/>
      <c r="C263" s="97" t="s">
        <v>129</v>
      </c>
      <c r="D263" s="97" t="s">
        <v>186</v>
      </c>
      <c r="E263" s="187"/>
    </row>
    <row r="264" spans="1:5" ht="15">
      <c r="A264" s="92"/>
      <c r="B264" s="93"/>
      <c r="C264" s="97" t="s">
        <v>82</v>
      </c>
      <c r="D264" s="97" t="s">
        <v>179</v>
      </c>
      <c r="E264" s="187"/>
    </row>
    <row r="265" spans="1:5" ht="15">
      <c r="A265" s="92"/>
      <c r="B265" s="93"/>
      <c r="C265" s="97" t="s">
        <v>164</v>
      </c>
      <c r="D265" s="97" t="s">
        <v>179</v>
      </c>
      <c r="E265" s="187"/>
    </row>
    <row r="266" spans="1:5" ht="15">
      <c r="A266" s="92"/>
      <c r="B266" s="93"/>
      <c r="C266" s="97" t="s">
        <v>212</v>
      </c>
      <c r="D266" s="97" t="s">
        <v>172</v>
      </c>
      <c r="E266" s="187"/>
    </row>
    <row r="267" spans="1:5" ht="15">
      <c r="A267" s="92"/>
      <c r="B267" s="93"/>
      <c r="C267" s="97" t="s">
        <v>165</v>
      </c>
      <c r="D267" s="97" t="s">
        <v>173</v>
      </c>
      <c r="E267" s="187"/>
    </row>
    <row r="268" spans="1:5" ht="15">
      <c r="A268" s="92"/>
      <c r="B268" s="93"/>
      <c r="C268" s="97" t="s">
        <v>166</v>
      </c>
      <c r="D268" s="97" t="s">
        <v>174</v>
      </c>
      <c r="E268" s="187"/>
    </row>
    <row r="269" spans="1:5" ht="15.75" thickBot="1">
      <c r="A269" s="92"/>
      <c r="B269" s="93"/>
      <c r="C269" s="97" t="s">
        <v>167</v>
      </c>
      <c r="D269" s="93"/>
      <c r="E269" s="187"/>
    </row>
    <row r="270" spans="1:5" ht="15.75" thickTop="1">
      <c r="A270" s="109" t="s">
        <v>70</v>
      </c>
      <c r="B270" s="109" t="s">
        <v>271</v>
      </c>
      <c r="C270" s="110" t="s">
        <v>253</v>
      </c>
      <c r="D270" s="110" t="s">
        <v>169</v>
      </c>
      <c r="E270" s="184" t="s">
        <v>272</v>
      </c>
    </row>
    <row r="271" spans="1:5" ht="15">
      <c r="A271" s="103"/>
      <c r="B271" s="103"/>
      <c r="C271" s="104" t="s">
        <v>39</v>
      </c>
      <c r="D271" s="104" t="s">
        <v>169</v>
      </c>
      <c r="E271" s="185"/>
    </row>
    <row r="272" spans="1:5" ht="15">
      <c r="A272" s="103"/>
      <c r="B272" s="105"/>
      <c r="C272" s="104" t="s">
        <v>210</v>
      </c>
      <c r="D272" s="104" t="s">
        <v>169</v>
      </c>
      <c r="E272" s="185"/>
    </row>
    <row r="273" spans="1:5" ht="15">
      <c r="A273" s="103"/>
      <c r="B273" s="105"/>
      <c r="C273" s="104" t="s">
        <v>183</v>
      </c>
      <c r="D273" s="104" t="s">
        <v>193</v>
      </c>
      <c r="E273" s="185"/>
    </row>
    <row r="274" spans="1:5" ht="15">
      <c r="A274" s="103"/>
      <c r="B274" s="105"/>
      <c r="C274" s="104" t="s">
        <v>82</v>
      </c>
      <c r="D274" s="104" t="s">
        <v>193</v>
      </c>
      <c r="E274" s="185"/>
    </row>
    <row r="275" spans="1:5" ht="15">
      <c r="A275" s="103"/>
      <c r="B275" s="105"/>
      <c r="C275" s="104" t="s">
        <v>164</v>
      </c>
      <c r="D275" s="104" t="s">
        <v>179</v>
      </c>
      <c r="E275" s="185"/>
    </row>
    <row r="276" spans="1:5" ht="15">
      <c r="A276" s="103"/>
      <c r="B276" s="105"/>
      <c r="C276" s="104" t="s">
        <v>165</v>
      </c>
      <c r="D276" s="104" t="s">
        <v>172</v>
      </c>
      <c r="E276" s="185"/>
    </row>
    <row r="277" spans="1:5" ht="15">
      <c r="A277" s="103"/>
      <c r="B277" s="105"/>
      <c r="C277" s="104" t="s">
        <v>166</v>
      </c>
      <c r="D277" s="104" t="s">
        <v>173</v>
      </c>
      <c r="E277" s="185"/>
    </row>
    <row r="278" spans="1:5" ht="15.75" thickBot="1">
      <c r="A278" s="103"/>
      <c r="B278" s="105"/>
      <c r="C278" s="104" t="s">
        <v>167</v>
      </c>
      <c r="D278" s="104" t="s">
        <v>174</v>
      </c>
      <c r="E278" s="185"/>
    </row>
    <row r="279" spans="1:5" ht="29.25" customHeight="1" thickTop="1">
      <c r="A279" s="99" t="s">
        <v>71</v>
      </c>
      <c r="B279" s="99" t="s">
        <v>80</v>
      </c>
      <c r="C279" s="100" t="s">
        <v>183</v>
      </c>
      <c r="D279" s="100" t="s">
        <v>192</v>
      </c>
      <c r="E279" s="186" t="s">
        <v>272</v>
      </c>
    </row>
    <row r="280" spans="1:5" ht="15">
      <c r="A280" s="92"/>
      <c r="B280" s="92"/>
      <c r="C280" s="97" t="s">
        <v>35</v>
      </c>
      <c r="D280" s="97" t="s">
        <v>178</v>
      </c>
      <c r="E280" s="187"/>
    </row>
    <row r="281" spans="1:5" ht="15">
      <c r="A281" s="92"/>
      <c r="B281" s="93"/>
      <c r="C281" s="97" t="s">
        <v>27</v>
      </c>
      <c r="D281" s="97" t="s">
        <v>169</v>
      </c>
      <c r="E281" s="187"/>
    </row>
    <row r="282" spans="1:5" ht="15">
      <c r="A282" s="92"/>
      <c r="B282" s="93"/>
      <c r="C282" s="97" t="s">
        <v>164</v>
      </c>
      <c r="D282" s="97" t="s">
        <v>193</v>
      </c>
      <c r="E282" s="187"/>
    </row>
    <row r="283" spans="1:5" ht="15">
      <c r="A283" s="92"/>
      <c r="B283" s="93"/>
      <c r="C283" s="97" t="s">
        <v>82</v>
      </c>
      <c r="D283" s="97" t="s">
        <v>179</v>
      </c>
      <c r="E283" s="187"/>
    </row>
    <row r="284" spans="1:5" ht="15">
      <c r="A284" s="92"/>
      <c r="B284" s="93"/>
      <c r="C284" s="97" t="s">
        <v>165</v>
      </c>
      <c r="D284" s="97" t="s">
        <v>172</v>
      </c>
      <c r="E284" s="187"/>
    </row>
    <row r="285" spans="1:5" ht="15">
      <c r="A285" s="92"/>
      <c r="B285" s="93"/>
      <c r="C285" s="97" t="s">
        <v>166</v>
      </c>
      <c r="D285" s="97" t="s">
        <v>173</v>
      </c>
      <c r="E285" s="187"/>
    </row>
    <row r="286" spans="1:5" ht="15.75" thickBot="1">
      <c r="A286" s="92"/>
      <c r="B286" s="93"/>
      <c r="C286" s="97" t="s">
        <v>167</v>
      </c>
      <c r="D286" s="97" t="s">
        <v>174</v>
      </c>
      <c r="E286" s="187"/>
    </row>
    <row r="287" spans="1:5" ht="26.25" customHeight="1" thickTop="1">
      <c r="A287" s="109" t="s">
        <v>72</v>
      </c>
      <c r="B287" s="109" t="s">
        <v>273</v>
      </c>
      <c r="C287" s="110" t="s">
        <v>183</v>
      </c>
      <c r="D287" s="110" t="s">
        <v>192</v>
      </c>
      <c r="E287" s="113" t="s">
        <v>274</v>
      </c>
    </row>
    <row r="288" spans="1:5" ht="60">
      <c r="A288" s="103"/>
      <c r="B288" s="103"/>
      <c r="C288" s="104" t="s">
        <v>223</v>
      </c>
      <c r="D288" s="104" t="s">
        <v>169</v>
      </c>
      <c r="E288" s="114" t="s">
        <v>275</v>
      </c>
    </row>
    <row r="289" spans="1:5" ht="15">
      <c r="A289" s="103"/>
      <c r="B289" s="105"/>
      <c r="C289" s="104" t="s">
        <v>253</v>
      </c>
      <c r="D289" s="104" t="s">
        <v>239</v>
      </c>
      <c r="E289" s="105"/>
    </row>
    <row r="290" spans="1:5" ht="15">
      <c r="A290" s="103"/>
      <c r="B290" s="105"/>
      <c r="C290" s="104" t="s">
        <v>191</v>
      </c>
      <c r="D290" s="104" t="s">
        <v>170</v>
      </c>
      <c r="E290" s="105"/>
    </row>
    <row r="291" spans="1:5" ht="15">
      <c r="A291" s="103"/>
      <c r="B291" s="105"/>
      <c r="C291" s="104" t="s">
        <v>212</v>
      </c>
      <c r="D291" s="104" t="s">
        <v>179</v>
      </c>
      <c r="E291" s="105"/>
    </row>
    <row r="292" spans="1:5" ht="15">
      <c r="A292" s="103"/>
      <c r="B292" s="105"/>
      <c r="C292" s="104" t="s">
        <v>164</v>
      </c>
      <c r="D292" s="104" t="s">
        <v>179</v>
      </c>
      <c r="E292" s="105"/>
    </row>
    <row r="293" spans="1:5" ht="15">
      <c r="A293" s="103"/>
      <c r="B293" s="105"/>
      <c r="C293" s="104" t="s">
        <v>165</v>
      </c>
      <c r="D293" s="104" t="s">
        <v>172</v>
      </c>
      <c r="E293" s="105"/>
    </row>
    <row r="294" spans="1:5" ht="15">
      <c r="A294" s="103"/>
      <c r="B294" s="105"/>
      <c r="C294" s="104" t="s">
        <v>166</v>
      </c>
      <c r="D294" s="104" t="s">
        <v>173</v>
      </c>
      <c r="E294" s="105"/>
    </row>
    <row r="295" spans="1:5" ht="15.75" thickBot="1">
      <c r="A295" s="103"/>
      <c r="B295" s="105"/>
      <c r="C295" s="104" t="s">
        <v>167</v>
      </c>
      <c r="D295" s="104" t="s">
        <v>174</v>
      </c>
      <c r="E295" s="105"/>
    </row>
    <row r="296" spans="1:5" ht="30.75" thickTop="1">
      <c r="A296" s="99" t="s">
        <v>73</v>
      </c>
      <c r="B296" s="99" t="s">
        <v>276</v>
      </c>
      <c r="C296" s="100" t="s">
        <v>183</v>
      </c>
      <c r="D296" s="100" t="s">
        <v>192</v>
      </c>
      <c r="E296" s="186" t="s">
        <v>264</v>
      </c>
    </row>
    <row r="297" spans="1:5" ht="15">
      <c r="A297" s="92"/>
      <c r="B297" s="92"/>
      <c r="C297" s="97" t="s">
        <v>191</v>
      </c>
      <c r="D297" s="97" t="s">
        <v>203</v>
      </c>
      <c r="E297" s="187"/>
    </row>
    <row r="298" spans="1:5" ht="15">
      <c r="A298" s="92"/>
      <c r="B298" s="112"/>
      <c r="C298" s="97" t="s">
        <v>234</v>
      </c>
      <c r="D298" s="97" t="s">
        <v>186</v>
      </c>
      <c r="E298" s="187"/>
    </row>
    <row r="299" spans="1:5" ht="15">
      <c r="A299" s="92"/>
      <c r="B299" s="93"/>
      <c r="C299" s="97" t="s">
        <v>39</v>
      </c>
      <c r="D299" s="97" t="s">
        <v>169</v>
      </c>
      <c r="E299" s="187"/>
    </row>
    <row r="300" spans="1:5" ht="15">
      <c r="A300" s="92"/>
      <c r="B300" s="93"/>
      <c r="C300" s="97" t="s">
        <v>225</v>
      </c>
      <c r="D300" s="97" t="s">
        <v>193</v>
      </c>
      <c r="E300" s="187"/>
    </row>
    <row r="301" spans="1:5" ht="15">
      <c r="A301" s="92"/>
      <c r="B301" s="93"/>
      <c r="C301" s="97" t="s">
        <v>164</v>
      </c>
      <c r="D301" s="97" t="s">
        <v>179</v>
      </c>
      <c r="E301" s="187"/>
    </row>
    <row r="302" spans="1:5" ht="15">
      <c r="A302" s="92"/>
      <c r="B302" s="93"/>
      <c r="C302" s="97" t="s">
        <v>165</v>
      </c>
      <c r="D302" s="97" t="s">
        <v>172</v>
      </c>
      <c r="E302" s="187"/>
    </row>
    <row r="303" spans="1:5" ht="15.75" thickBot="1">
      <c r="A303" s="92"/>
      <c r="B303" s="93"/>
      <c r="C303" s="97" t="s">
        <v>166</v>
      </c>
      <c r="D303" s="97" t="s">
        <v>173</v>
      </c>
      <c r="E303" s="187"/>
    </row>
    <row r="304" spans="1:5" ht="45.75" thickTop="1">
      <c r="A304" s="109" t="s">
        <v>697</v>
      </c>
      <c r="B304" s="109" t="s">
        <v>698</v>
      </c>
      <c r="C304" s="110" t="s">
        <v>183</v>
      </c>
      <c r="D304" s="110" t="s">
        <v>192</v>
      </c>
      <c r="E304" s="113" t="s">
        <v>699</v>
      </c>
    </row>
    <row r="305" spans="1:5" ht="15">
      <c r="A305" s="103"/>
      <c r="B305" s="103"/>
      <c r="C305" s="104" t="s">
        <v>82</v>
      </c>
      <c r="D305" s="104" t="s">
        <v>193</v>
      </c>
      <c r="E305" s="115"/>
    </row>
    <row r="306" spans="1:5" ht="15">
      <c r="A306" s="103"/>
      <c r="B306" s="103"/>
      <c r="C306" s="104" t="s">
        <v>52</v>
      </c>
      <c r="D306" s="104" t="s">
        <v>169</v>
      </c>
      <c r="E306" s="103"/>
    </row>
    <row r="307" spans="1:5" ht="15">
      <c r="A307" s="103"/>
      <c r="B307" s="103"/>
      <c r="C307" s="104" t="s">
        <v>212</v>
      </c>
      <c r="D307" s="104" t="s">
        <v>179</v>
      </c>
      <c r="E307" s="103"/>
    </row>
    <row r="308" spans="1:5" ht="15">
      <c r="A308" s="103"/>
      <c r="B308" s="103"/>
      <c r="C308" s="104" t="s">
        <v>164</v>
      </c>
      <c r="D308" s="104" t="s">
        <v>171</v>
      </c>
      <c r="E308" s="103"/>
    </row>
    <row r="309" spans="1:5" ht="15">
      <c r="A309" s="116"/>
      <c r="B309" s="116"/>
      <c r="C309" s="104" t="s">
        <v>165</v>
      </c>
      <c r="D309" s="104" t="s">
        <v>172</v>
      </c>
      <c r="E309" s="116"/>
    </row>
    <row r="310" spans="1:5" ht="15">
      <c r="A310" s="116"/>
      <c r="B310" s="116"/>
      <c r="C310" s="104" t="s">
        <v>166</v>
      </c>
      <c r="D310" s="104" t="s">
        <v>695</v>
      </c>
      <c r="E310" s="116"/>
    </row>
    <row r="311" spans="1:5" ht="15.75" thickBot="1">
      <c r="A311" s="116"/>
      <c r="B311" s="116"/>
      <c r="C311" s="104" t="s">
        <v>167</v>
      </c>
      <c r="D311" s="104" t="s">
        <v>174</v>
      </c>
      <c r="E311" s="116"/>
    </row>
    <row r="312" spans="1:5" ht="60.75" thickTop="1">
      <c r="A312" s="99" t="s">
        <v>700</v>
      </c>
      <c r="B312" s="99" t="s">
        <v>701</v>
      </c>
      <c r="C312" s="100" t="s">
        <v>245</v>
      </c>
      <c r="D312" s="100" t="s">
        <v>178</v>
      </c>
      <c r="E312" s="117" t="s">
        <v>702</v>
      </c>
    </row>
    <row r="313" spans="1:5" ht="15">
      <c r="A313" s="97"/>
      <c r="B313" s="97"/>
      <c r="C313" s="97" t="s">
        <v>183</v>
      </c>
      <c r="D313" s="97" t="s">
        <v>192</v>
      </c>
      <c r="E313" s="97"/>
    </row>
    <row r="314" spans="1:5" ht="15">
      <c r="A314" s="97"/>
      <c r="B314" s="97"/>
      <c r="C314" s="97" t="s">
        <v>82</v>
      </c>
      <c r="D314" s="97" t="s">
        <v>186</v>
      </c>
      <c r="E314" s="97"/>
    </row>
    <row r="315" spans="1:5" ht="15">
      <c r="A315" s="97"/>
      <c r="B315" s="97"/>
      <c r="C315" s="97" t="s">
        <v>164</v>
      </c>
      <c r="D315" s="97" t="s">
        <v>171</v>
      </c>
      <c r="E315" s="97"/>
    </row>
    <row r="316" spans="1:5" ht="15">
      <c r="A316" s="97"/>
      <c r="B316" s="97"/>
      <c r="C316" s="97" t="s">
        <v>165</v>
      </c>
      <c r="D316" s="97" t="s">
        <v>172</v>
      </c>
      <c r="E316" s="97"/>
    </row>
    <row r="317" spans="1:5" ht="15">
      <c r="A317" s="97"/>
      <c r="B317" s="97"/>
      <c r="C317" s="97" t="s">
        <v>166</v>
      </c>
      <c r="D317" s="97" t="s">
        <v>695</v>
      </c>
      <c r="E317" s="97"/>
    </row>
    <row r="318" spans="1:5" ht="15.75" thickBot="1">
      <c r="A318" s="97"/>
      <c r="B318" s="97"/>
      <c r="C318" s="97" t="s">
        <v>167</v>
      </c>
      <c r="D318" s="97" t="s">
        <v>174</v>
      </c>
      <c r="E318" s="97"/>
    </row>
    <row r="319" spans="1:5" ht="45.75" thickTop="1">
      <c r="A319" s="109" t="s">
        <v>703</v>
      </c>
      <c r="B319" s="109" t="s">
        <v>431</v>
      </c>
      <c r="C319" s="110" t="s">
        <v>39</v>
      </c>
      <c r="D319" s="110" t="s">
        <v>169</v>
      </c>
      <c r="E319" s="113" t="s">
        <v>699</v>
      </c>
    </row>
    <row r="320" spans="1:5" ht="15">
      <c r="A320" s="116"/>
      <c r="B320" s="116"/>
      <c r="C320" s="104" t="s">
        <v>602</v>
      </c>
      <c r="D320" s="104" t="s">
        <v>169</v>
      </c>
      <c r="E320" s="104"/>
    </row>
    <row r="321" spans="1:5" ht="15">
      <c r="A321" s="116"/>
      <c r="B321" s="116"/>
      <c r="C321" s="104" t="s">
        <v>183</v>
      </c>
      <c r="D321" s="104" t="s">
        <v>192</v>
      </c>
      <c r="E321" s="104"/>
    </row>
    <row r="322" spans="1:5" ht="15">
      <c r="A322" s="116"/>
      <c r="B322" s="116"/>
      <c r="C322" s="104" t="s">
        <v>82</v>
      </c>
      <c r="D322" s="104" t="s">
        <v>193</v>
      </c>
      <c r="E322" s="104"/>
    </row>
    <row r="323" spans="1:5" ht="15">
      <c r="A323" s="116"/>
      <c r="B323" s="116"/>
      <c r="C323" s="104" t="s">
        <v>212</v>
      </c>
      <c r="D323" s="104" t="s">
        <v>179</v>
      </c>
      <c r="E323" s="104"/>
    </row>
    <row r="324" spans="1:5" ht="15">
      <c r="A324" s="116"/>
      <c r="B324" s="116"/>
      <c r="C324" s="104" t="s">
        <v>588</v>
      </c>
      <c r="D324" s="104">
        <v>40</v>
      </c>
      <c r="E324" s="104"/>
    </row>
    <row r="325" spans="1:5" ht="15">
      <c r="A325" s="116"/>
      <c r="B325" s="116"/>
      <c r="C325" s="104" t="s">
        <v>191</v>
      </c>
      <c r="D325" s="104" t="s">
        <v>170</v>
      </c>
      <c r="E325" s="104"/>
    </row>
    <row r="326" spans="1:5" ht="15">
      <c r="A326" s="116"/>
      <c r="B326" s="116"/>
      <c r="C326" s="104" t="s">
        <v>624</v>
      </c>
      <c r="D326" s="104" t="s">
        <v>179</v>
      </c>
      <c r="E326" s="104"/>
    </row>
    <row r="327" spans="1:5" ht="15">
      <c r="A327" s="116"/>
      <c r="B327" s="116"/>
      <c r="C327" s="104" t="s">
        <v>165</v>
      </c>
      <c r="D327" s="104" t="s">
        <v>172</v>
      </c>
      <c r="E327" s="104"/>
    </row>
    <row r="328" spans="1:5" ht="15.75" thickBot="1">
      <c r="A328" s="116"/>
      <c r="B328" s="116"/>
      <c r="C328" s="104" t="s">
        <v>166</v>
      </c>
      <c r="D328" s="104" t="s">
        <v>695</v>
      </c>
      <c r="E328" s="104"/>
    </row>
    <row r="329" spans="1:5" ht="90.75" thickTop="1">
      <c r="A329" s="99" t="s">
        <v>704</v>
      </c>
      <c r="B329" s="99" t="s">
        <v>705</v>
      </c>
      <c r="C329" s="100" t="s">
        <v>183</v>
      </c>
      <c r="D329" s="100" t="s">
        <v>192</v>
      </c>
      <c r="E329" s="117" t="s">
        <v>706</v>
      </c>
    </row>
    <row r="330" spans="1:5" ht="15">
      <c r="A330" s="97"/>
      <c r="B330" s="97"/>
      <c r="C330" s="97" t="s">
        <v>212</v>
      </c>
      <c r="D330" s="97" t="s">
        <v>179</v>
      </c>
      <c r="E330" s="97"/>
    </row>
    <row r="331" spans="1:5" ht="15">
      <c r="A331" s="97"/>
      <c r="B331" s="97"/>
      <c r="C331" s="97" t="s">
        <v>175</v>
      </c>
      <c r="D331" s="97" t="s">
        <v>169</v>
      </c>
      <c r="E331" s="97"/>
    </row>
    <row r="332" spans="1:5" ht="15">
      <c r="A332" s="97"/>
      <c r="B332" s="97"/>
      <c r="C332" s="97" t="s">
        <v>82</v>
      </c>
      <c r="D332" s="97" t="s">
        <v>193</v>
      </c>
      <c r="E332" s="97"/>
    </row>
    <row r="333" spans="1:5" ht="15">
      <c r="A333" s="97"/>
      <c r="B333" s="97"/>
      <c r="C333" s="97" t="s">
        <v>164</v>
      </c>
      <c r="D333" s="97" t="s">
        <v>171</v>
      </c>
      <c r="E333" s="97"/>
    </row>
    <row r="334" spans="1:5" ht="15">
      <c r="A334" s="97"/>
      <c r="B334" s="97"/>
      <c r="C334" s="97" t="s">
        <v>165</v>
      </c>
      <c r="D334" s="97" t="s">
        <v>172</v>
      </c>
      <c r="E334" s="97"/>
    </row>
    <row r="335" spans="1:5" ht="15.75" thickBot="1">
      <c r="A335" s="97"/>
      <c r="B335" s="97"/>
      <c r="C335" s="97" t="s">
        <v>166</v>
      </c>
      <c r="D335" s="97" t="s">
        <v>695</v>
      </c>
      <c r="E335" s="97"/>
    </row>
    <row r="336" spans="1:5" ht="60.75" thickTop="1">
      <c r="A336" s="109" t="s">
        <v>707</v>
      </c>
      <c r="B336" s="109" t="s">
        <v>708</v>
      </c>
      <c r="C336" s="110" t="s">
        <v>210</v>
      </c>
      <c r="D336" s="110" t="s">
        <v>192</v>
      </c>
      <c r="E336" s="113" t="s">
        <v>709</v>
      </c>
    </row>
    <row r="337" spans="1:5" ht="15">
      <c r="C337" s="104" t="s">
        <v>183</v>
      </c>
      <c r="D337" s="104" t="s">
        <v>192</v>
      </c>
      <c r="E337" s="104"/>
    </row>
    <row r="338" spans="1:5" ht="15">
      <c r="C338" s="104" t="s">
        <v>82</v>
      </c>
      <c r="D338" s="104" t="s">
        <v>186</v>
      </c>
      <c r="E338" s="104"/>
    </row>
    <row r="339" spans="1:5" ht="15">
      <c r="C339" s="104" t="s">
        <v>710</v>
      </c>
      <c r="D339" s="104" t="s">
        <v>169</v>
      </c>
      <c r="E339" s="104"/>
    </row>
    <row r="340" spans="1:5" ht="15">
      <c r="C340" s="104" t="s">
        <v>164</v>
      </c>
      <c r="D340" s="104" t="s">
        <v>171</v>
      </c>
      <c r="E340" s="104"/>
    </row>
    <row r="341" spans="1:5" ht="15">
      <c r="C341" s="104" t="s">
        <v>165</v>
      </c>
      <c r="D341" s="104" t="s">
        <v>172</v>
      </c>
      <c r="E341" s="104"/>
    </row>
    <row r="342" spans="1:5" ht="15">
      <c r="C342" s="104" t="s">
        <v>166</v>
      </c>
      <c r="D342" s="104" t="s">
        <v>695</v>
      </c>
      <c r="E342" s="104"/>
    </row>
    <row r="343" spans="1:5" ht="15.75" thickBot="1">
      <c r="C343" s="104" t="s">
        <v>167</v>
      </c>
      <c r="D343" s="104" t="s">
        <v>174</v>
      </c>
      <c r="E343" s="104"/>
    </row>
    <row r="344" spans="1:5" ht="75.75" thickTop="1">
      <c r="A344" s="99" t="s">
        <v>711</v>
      </c>
      <c r="B344" s="99" t="s">
        <v>442</v>
      </c>
      <c r="C344" s="100" t="s">
        <v>140</v>
      </c>
      <c r="D344" s="100" t="s">
        <v>169</v>
      </c>
      <c r="E344" s="117" t="s">
        <v>712</v>
      </c>
    </row>
    <row r="345" spans="1:5" ht="15">
      <c r="A345" s="97"/>
      <c r="B345" s="97"/>
      <c r="C345" s="97" t="s">
        <v>183</v>
      </c>
      <c r="D345" s="97" t="s">
        <v>192</v>
      </c>
      <c r="E345" s="97"/>
    </row>
    <row r="346" spans="1:5" ht="15">
      <c r="A346" s="97"/>
      <c r="B346" s="97"/>
      <c r="C346" s="97" t="s">
        <v>164</v>
      </c>
      <c r="D346" s="97" t="s">
        <v>171</v>
      </c>
      <c r="E346" s="97"/>
    </row>
    <row r="347" spans="1:5" ht="15">
      <c r="A347" s="97"/>
      <c r="B347" s="97"/>
      <c r="C347" s="97" t="s">
        <v>78</v>
      </c>
      <c r="D347" s="97" t="s">
        <v>169</v>
      </c>
      <c r="E347" s="97"/>
    </row>
    <row r="348" spans="1:5" ht="15">
      <c r="A348" s="97"/>
      <c r="B348" s="97"/>
      <c r="C348" s="97" t="s">
        <v>82</v>
      </c>
      <c r="D348" s="97" t="s">
        <v>186</v>
      </c>
      <c r="E348" s="97"/>
    </row>
    <row r="349" spans="1:5" ht="15">
      <c r="A349" s="97"/>
      <c r="B349" s="97"/>
      <c r="C349" s="97" t="s">
        <v>165</v>
      </c>
      <c r="D349" s="97" t="s">
        <v>172</v>
      </c>
      <c r="E349" s="97"/>
    </row>
    <row r="350" spans="1:5" ht="15">
      <c r="A350" s="97"/>
      <c r="B350" s="97"/>
      <c r="C350" s="97" t="s">
        <v>167</v>
      </c>
      <c r="D350" s="97" t="s">
        <v>174</v>
      </c>
      <c r="E350" s="97"/>
    </row>
    <row r="351" spans="1:5" ht="15.75" thickBot="1">
      <c r="A351" s="97"/>
      <c r="B351" s="97"/>
      <c r="C351" s="97" t="s">
        <v>166</v>
      </c>
      <c r="D351" s="97" t="s">
        <v>695</v>
      </c>
      <c r="E351" s="97"/>
    </row>
    <row r="352" spans="1:5" ht="60.75" thickTop="1">
      <c r="A352" s="109" t="s">
        <v>713</v>
      </c>
      <c r="B352" s="109" t="s">
        <v>714</v>
      </c>
      <c r="C352" s="110" t="s">
        <v>183</v>
      </c>
      <c r="D352" s="110" t="s">
        <v>192</v>
      </c>
      <c r="E352" s="113" t="s">
        <v>251</v>
      </c>
    </row>
    <row r="353" spans="1:5" ht="15">
      <c r="C353" s="104" t="s">
        <v>253</v>
      </c>
      <c r="D353" s="104" t="s">
        <v>169</v>
      </c>
      <c r="E353" s="104"/>
    </row>
    <row r="354" spans="1:5" ht="15">
      <c r="C354" s="104" t="s">
        <v>82</v>
      </c>
      <c r="D354" s="104" t="s">
        <v>186</v>
      </c>
      <c r="E354" s="104"/>
    </row>
    <row r="355" spans="1:5" ht="15">
      <c r="C355" s="104" t="s">
        <v>164</v>
      </c>
      <c r="D355" s="104" t="s">
        <v>171</v>
      </c>
      <c r="E355" s="104"/>
    </row>
    <row r="356" spans="1:5" ht="15">
      <c r="C356" s="104" t="s">
        <v>165</v>
      </c>
      <c r="D356" s="104" t="s">
        <v>172</v>
      </c>
      <c r="E356" s="104"/>
    </row>
    <row r="357" spans="1:5" ht="15">
      <c r="C357" s="104" t="s">
        <v>166</v>
      </c>
      <c r="D357" s="104" t="s">
        <v>695</v>
      </c>
      <c r="E357" s="104"/>
    </row>
    <row r="358" spans="1:5" ht="15.75" thickBot="1">
      <c r="C358" s="104" t="s">
        <v>167</v>
      </c>
      <c r="D358" s="104" t="s">
        <v>174</v>
      </c>
      <c r="E358" s="104"/>
    </row>
    <row r="359" spans="1:5" ht="60.75" thickTop="1">
      <c r="A359" s="99" t="s">
        <v>715</v>
      </c>
      <c r="B359" s="99" t="s">
        <v>446</v>
      </c>
      <c r="C359" s="100" t="s">
        <v>210</v>
      </c>
      <c r="D359" s="100" t="s">
        <v>169</v>
      </c>
      <c r="E359" s="117" t="s">
        <v>716</v>
      </c>
    </row>
    <row r="360" spans="1:5" ht="15">
      <c r="A360" s="97"/>
      <c r="B360" s="97"/>
      <c r="C360" s="97" t="s">
        <v>225</v>
      </c>
      <c r="D360" s="97" t="s">
        <v>178</v>
      </c>
      <c r="E360" s="97"/>
    </row>
    <row r="361" spans="1:5" ht="15">
      <c r="A361" s="97"/>
      <c r="B361" s="97"/>
      <c r="C361" s="97" t="s">
        <v>253</v>
      </c>
      <c r="D361" s="97" t="s">
        <v>169</v>
      </c>
      <c r="E361" s="97"/>
    </row>
    <row r="362" spans="1:5" ht="15">
      <c r="A362" s="97"/>
      <c r="B362" s="97"/>
      <c r="C362" s="97" t="s">
        <v>82</v>
      </c>
      <c r="D362" s="97" t="s">
        <v>186</v>
      </c>
      <c r="E362" s="97"/>
    </row>
    <row r="363" spans="1:5" ht="15">
      <c r="A363" s="97"/>
      <c r="B363" s="97"/>
      <c r="C363" s="97" t="s">
        <v>164</v>
      </c>
      <c r="D363" s="97" t="s">
        <v>171</v>
      </c>
      <c r="E363" s="97"/>
    </row>
    <row r="364" spans="1:5" ht="15">
      <c r="A364" s="97"/>
      <c r="B364" s="97"/>
      <c r="C364" s="97" t="s">
        <v>212</v>
      </c>
      <c r="D364" s="97" t="s">
        <v>179</v>
      </c>
      <c r="E364" s="97"/>
    </row>
    <row r="365" spans="1:5" ht="15">
      <c r="A365" s="97"/>
      <c r="B365" s="97"/>
      <c r="C365" s="97" t="s">
        <v>165</v>
      </c>
      <c r="D365" s="97" t="s">
        <v>172</v>
      </c>
      <c r="E365" s="97"/>
    </row>
    <row r="366" spans="1:5" ht="15">
      <c r="A366" s="97"/>
      <c r="B366" s="97"/>
      <c r="C366" s="97" t="s">
        <v>166</v>
      </c>
      <c r="D366" s="97" t="s">
        <v>695</v>
      </c>
      <c r="E366" s="97"/>
    </row>
    <row r="367" spans="1:5" ht="15.75" thickBot="1">
      <c r="A367" s="97"/>
      <c r="B367" s="97"/>
      <c r="C367" s="97" t="s">
        <v>167</v>
      </c>
      <c r="D367" s="97" t="s">
        <v>174</v>
      </c>
      <c r="E367" s="97"/>
    </row>
    <row r="368" spans="1:5" ht="60.75" thickTop="1">
      <c r="A368" s="109" t="s">
        <v>713</v>
      </c>
      <c r="B368" s="109" t="s">
        <v>721</v>
      </c>
      <c r="C368" s="110" t="s">
        <v>183</v>
      </c>
      <c r="D368" s="110">
        <v>60</v>
      </c>
      <c r="E368" s="129" t="s">
        <v>722</v>
      </c>
    </row>
    <row r="369" spans="3:4" ht="15">
      <c r="C369" s="104" t="s">
        <v>618</v>
      </c>
      <c r="D369" s="104">
        <v>40</v>
      </c>
    </row>
    <row r="370" spans="3:4" ht="15">
      <c r="C370" s="104" t="s">
        <v>82</v>
      </c>
      <c r="D370" s="104">
        <v>30</v>
      </c>
    </row>
    <row r="371" spans="3:4" ht="15">
      <c r="C371" s="104" t="s">
        <v>164</v>
      </c>
      <c r="D371" s="104">
        <v>25</v>
      </c>
    </row>
    <row r="372" spans="3:4" ht="15">
      <c r="C372" s="104" t="s">
        <v>212</v>
      </c>
      <c r="D372" s="104">
        <v>20</v>
      </c>
    </row>
    <row r="373" spans="3:4" ht="15">
      <c r="C373" s="104" t="s">
        <v>165</v>
      </c>
      <c r="D373" s="104">
        <v>3</v>
      </c>
    </row>
    <row r="374" spans="3:4" ht="15">
      <c r="C374" s="104" t="s">
        <v>166</v>
      </c>
      <c r="D374" s="104">
        <v>0.1</v>
      </c>
    </row>
    <row r="375" spans="3:4" ht="15">
      <c r="C375" s="104" t="s">
        <v>167</v>
      </c>
      <c r="D375" s="104" t="s">
        <v>174</v>
      </c>
    </row>
  </sheetData>
  <mergeCells count="35">
    <mergeCell ref="E296:E303"/>
    <mergeCell ref="E208:E216"/>
    <mergeCell ref="E217:E223"/>
    <mergeCell ref="E224:E231"/>
    <mergeCell ref="E232:E239"/>
    <mergeCell ref="E240:E247"/>
    <mergeCell ref="E248:E259"/>
    <mergeCell ref="E260:E269"/>
    <mergeCell ref="E270:E278"/>
    <mergeCell ref="E279:E286"/>
    <mergeCell ref="E201:E207"/>
    <mergeCell ref="E129:E136"/>
    <mergeCell ref="E137:E145"/>
    <mergeCell ref="E146:E153"/>
    <mergeCell ref="E154:E161"/>
    <mergeCell ref="E162:E170"/>
    <mergeCell ref="E171:E177"/>
    <mergeCell ref="E178:E185"/>
    <mergeCell ref="E186:E192"/>
    <mergeCell ref="E193:E200"/>
    <mergeCell ref="E36:E44"/>
    <mergeCell ref="A6:E6"/>
    <mergeCell ref="E9:E16"/>
    <mergeCell ref="E17:E25"/>
    <mergeCell ref="E26:E35"/>
    <mergeCell ref="E121:E128"/>
    <mergeCell ref="E45:E51"/>
    <mergeCell ref="E52:E59"/>
    <mergeCell ref="E60:E68"/>
    <mergeCell ref="E69:E79"/>
    <mergeCell ref="E80:E88"/>
    <mergeCell ref="E89:E96"/>
    <mergeCell ref="E97:E104"/>
    <mergeCell ref="E105:E111"/>
    <mergeCell ref="E112:E120"/>
  </mergeCells>
  <phoneticPr fontId="9" type="noConversion"/>
  <pageMargins left="0.74803149606299213" right="0.74803149606299213" top="0" bottom="0" header="0" footer="0"/>
  <pageSetup scale="77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5:E114"/>
  <sheetViews>
    <sheetView showGridLines="0" topLeftCell="A91" zoomScale="130" zoomScaleNormal="130" workbookViewId="0">
      <selection activeCell="A94" sqref="A94:E102"/>
    </sheetView>
  </sheetViews>
  <sheetFormatPr defaultRowHeight="12.75"/>
  <cols>
    <col min="1" max="1" width="11.140625" customWidth="1"/>
    <col min="2" max="2" width="39.5703125" customWidth="1"/>
    <col min="3" max="3" width="40.5703125" customWidth="1"/>
    <col min="4" max="4" width="23.7109375" customWidth="1"/>
    <col min="5" max="5" width="59.140625" customWidth="1"/>
  </cols>
  <sheetData>
    <row r="5" spans="1:5" ht="18">
      <c r="A5" s="175" t="s">
        <v>49</v>
      </c>
      <c r="B5" s="175"/>
      <c r="C5" s="175"/>
      <c r="D5" s="175"/>
      <c r="E5" s="175"/>
    </row>
    <row r="7" spans="1:5" ht="13.5" thickBot="1"/>
    <row r="8" spans="1:5" s="7" customFormat="1" ht="36" customHeight="1" thickTop="1" thickBot="1">
      <c r="A8" s="54" t="s">
        <v>45</v>
      </c>
      <c r="B8" s="54" t="s">
        <v>46</v>
      </c>
      <c r="C8" s="54" t="s">
        <v>43</v>
      </c>
      <c r="D8" s="54" t="s">
        <v>44</v>
      </c>
      <c r="E8" s="48" t="s">
        <v>47</v>
      </c>
    </row>
    <row r="9" spans="1:5" ht="15.75" thickTop="1">
      <c r="A9" s="91" t="s">
        <v>278</v>
      </c>
      <c r="B9" s="91" t="s">
        <v>279</v>
      </c>
      <c r="C9" s="126" t="s">
        <v>183</v>
      </c>
      <c r="D9" s="126" t="s">
        <v>184</v>
      </c>
      <c r="E9" s="192" t="s">
        <v>281</v>
      </c>
    </row>
    <row r="10" spans="1:5" ht="15">
      <c r="A10" s="92"/>
      <c r="B10" s="92"/>
      <c r="C10" s="127" t="s">
        <v>204</v>
      </c>
      <c r="D10" s="127" t="s">
        <v>280</v>
      </c>
      <c r="E10" s="187"/>
    </row>
    <row r="11" spans="1:5" ht="15">
      <c r="A11" s="92"/>
      <c r="B11" s="93"/>
      <c r="C11" s="127" t="s">
        <v>166</v>
      </c>
      <c r="D11" s="127" t="s">
        <v>188</v>
      </c>
      <c r="E11" s="187"/>
    </row>
    <row r="12" spans="1:5" ht="15.75" thickBot="1">
      <c r="A12" s="92"/>
      <c r="B12" s="93"/>
      <c r="C12" s="127" t="s">
        <v>198</v>
      </c>
      <c r="D12" s="127" t="s">
        <v>174</v>
      </c>
      <c r="E12" s="187"/>
    </row>
    <row r="13" spans="1:5" ht="15.75" thickTop="1">
      <c r="A13" s="56" t="s">
        <v>282</v>
      </c>
      <c r="B13" s="56" t="s">
        <v>53</v>
      </c>
      <c r="C13" s="50" t="s">
        <v>183</v>
      </c>
      <c r="D13" s="50" t="s">
        <v>184</v>
      </c>
      <c r="E13" s="193" t="s">
        <v>283</v>
      </c>
    </row>
    <row r="14" spans="1:5" ht="15">
      <c r="A14" s="57"/>
      <c r="B14" s="57"/>
      <c r="C14" s="49" t="s">
        <v>165</v>
      </c>
      <c r="D14" s="49" t="s">
        <v>172</v>
      </c>
      <c r="E14" s="194"/>
    </row>
    <row r="15" spans="1:5" ht="15">
      <c r="A15" s="57"/>
      <c r="B15" s="51"/>
      <c r="C15" s="49" t="s">
        <v>166</v>
      </c>
      <c r="D15" s="49" t="s">
        <v>188</v>
      </c>
      <c r="E15" s="194"/>
    </row>
    <row r="16" spans="1:5" ht="15">
      <c r="A16" s="57"/>
      <c r="B16" s="52"/>
      <c r="C16" s="49" t="s">
        <v>181</v>
      </c>
      <c r="D16" s="49" t="s">
        <v>174</v>
      </c>
      <c r="E16" s="194"/>
    </row>
    <row r="17" spans="1:5" ht="15.75" thickBot="1">
      <c r="A17" s="57"/>
      <c r="B17" s="52"/>
      <c r="C17" s="49" t="s">
        <v>182</v>
      </c>
      <c r="D17" s="49" t="s">
        <v>174</v>
      </c>
      <c r="E17" s="194"/>
    </row>
    <row r="18" spans="1:5" ht="15.75" thickTop="1">
      <c r="A18" s="91" t="s">
        <v>284</v>
      </c>
      <c r="B18" s="91" t="s">
        <v>54</v>
      </c>
      <c r="C18" s="126" t="s">
        <v>183</v>
      </c>
      <c r="D18" s="126" t="s">
        <v>184</v>
      </c>
      <c r="E18" s="192" t="s">
        <v>285</v>
      </c>
    </row>
    <row r="19" spans="1:5" ht="15">
      <c r="A19" s="92"/>
      <c r="B19" s="92"/>
      <c r="C19" s="127" t="s">
        <v>166</v>
      </c>
      <c r="D19" s="127" t="s">
        <v>188</v>
      </c>
      <c r="E19" s="187"/>
    </row>
    <row r="20" spans="1:5" ht="15.75" thickBot="1">
      <c r="A20" s="92"/>
      <c r="B20" s="112"/>
      <c r="C20" s="93"/>
      <c r="D20" s="93"/>
      <c r="E20" s="187"/>
    </row>
    <row r="21" spans="1:5" ht="15.75" thickTop="1">
      <c r="A21" s="56" t="s">
        <v>286</v>
      </c>
      <c r="B21" s="56" t="s">
        <v>287</v>
      </c>
      <c r="C21" s="50" t="s">
        <v>183</v>
      </c>
      <c r="D21" s="50" t="s">
        <v>184</v>
      </c>
      <c r="E21" s="190" t="s">
        <v>288</v>
      </c>
    </row>
    <row r="22" spans="1:5" ht="15">
      <c r="A22" s="57"/>
      <c r="B22" s="57"/>
      <c r="C22" s="49" t="s">
        <v>165</v>
      </c>
      <c r="D22" s="49" t="s">
        <v>172</v>
      </c>
      <c r="E22" s="191"/>
    </row>
    <row r="23" spans="1:5" ht="15">
      <c r="A23" s="57"/>
      <c r="B23" s="52"/>
      <c r="C23" s="49" t="s">
        <v>166</v>
      </c>
      <c r="D23" s="49" t="s">
        <v>188</v>
      </c>
      <c r="E23" s="191"/>
    </row>
    <row r="24" spans="1:5" ht="15">
      <c r="A24" s="57"/>
      <c r="B24" s="52"/>
      <c r="C24" s="49" t="s">
        <v>182</v>
      </c>
      <c r="D24" s="49" t="s">
        <v>174</v>
      </c>
      <c r="E24" s="191"/>
    </row>
    <row r="25" spans="1:5" ht="15.75" thickBot="1">
      <c r="A25" s="57"/>
      <c r="B25" s="52"/>
      <c r="C25" s="49" t="s">
        <v>202</v>
      </c>
      <c r="D25" s="49" t="s">
        <v>174</v>
      </c>
      <c r="E25" s="191"/>
    </row>
    <row r="26" spans="1:5" ht="45.75" thickTop="1">
      <c r="A26" s="91" t="s">
        <v>289</v>
      </c>
      <c r="B26" s="91" t="s">
        <v>290</v>
      </c>
      <c r="C26" s="126" t="s">
        <v>183</v>
      </c>
      <c r="D26" s="126" t="s">
        <v>201</v>
      </c>
      <c r="E26" s="192" t="s">
        <v>293</v>
      </c>
    </row>
    <row r="27" spans="1:5" ht="15">
      <c r="A27" s="92"/>
      <c r="B27" s="92"/>
      <c r="C27" s="127" t="s">
        <v>191</v>
      </c>
      <c r="D27" s="127" t="s">
        <v>178</v>
      </c>
      <c r="E27" s="187"/>
    </row>
    <row r="28" spans="1:5" ht="15">
      <c r="A28" s="92"/>
      <c r="B28" s="93"/>
      <c r="C28" s="127" t="s">
        <v>82</v>
      </c>
      <c r="D28" s="127" t="s">
        <v>178</v>
      </c>
      <c r="E28" s="187"/>
    </row>
    <row r="29" spans="1:5" ht="15">
      <c r="A29" s="92"/>
      <c r="B29" s="93"/>
      <c r="C29" s="127" t="s">
        <v>291</v>
      </c>
      <c r="D29" s="127" t="s">
        <v>292</v>
      </c>
      <c r="E29" s="187"/>
    </row>
    <row r="30" spans="1:5" ht="15.75" thickBot="1">
      <c r="A30" s="92"/>
      <c r="B30" s="93"/>
      <c r="C30" s="127" t="s">
        <v>166</v>
      </c>
      <c r="D30" s="127" t="s">
        <v>188</v>
      </c>
      <c r="E30" s="187"/>
    </row>
    <row r="31" spans="1:5" ht="30.75" thickTop="1">
      <c r="A31" s="56" t="s">
        <v>294</v>
      </c>
      <c r="B31" s="56" t="s">
        <v>325</v>
      </c>
      <c r="C31" s="50" t="s">
        <v>187</v>
      </c>
      <c r="D31" s="50" t="s">
        <v>192</v>
      </c>
      <c r="E31" s="190" t="s">
        <v>297</v>
      </c>
    </row>
    <row r="32" spans="1:5" ht="15">
      <c r="A32" s="57"/>
      <c r="B32" s="57"/>
      <c r="C32" s="49" t="s">
        <v>295</v>
      </c>
      <c r="D32" s="49" t="s">
        <v>296</v>
      </c>
      <c r="E32" s="191"/>
    </row>
    <row r="33" spans="1:5" ht="15">
      <c r="A33" s="57"/>
      <c r="B33" s="51"/>
      <c r="C33" s="49" t="s">
        <v>164</v>
      </c>
      <c r="D33" s="49" t="s">
        <v>179</v>
      </c>
      <c r="E33" s="191"/>
    </row>
    <row r="34" spans="1:5" ht="15">
      <c r="A34" s="57"/>
      <c r="B34" s="51"/>
      <c r="C34" s="49" t="s">
        <v>165</v>
      </c>
      <c r="D34" s="49" t="s">
        <v>172</v>
      </c>
      <c r="E34" s="191"/>
    </row>
    <row r="35" spans="1:5" ht="15">
      <c r="A35" s="57"/>
      <c r="B35" s="52"/>
      <c r="C35" s="49" t="s">
        <v>166</v>
      </c>
      <c r="D35" s="49" t="s">
        <v>188</v>
      </c>
      <c r="E35" s="191"/>
    </row>
    <row r="36" spans="1:5" ht="15.75" thickBot="1">
      <c r="A36" s="57"/>
      <c r="B36" s="52"/>
      <c r="C36" s="49" t="s">
        <v>167</v>
      </c>
      <c r="D36" s="49" t="s">
        <v>174</v>
      </c>
      <c r="E36" s="191"/>
    </row>
    <row r="37" spans="1:5" ht="30.75" thickTop="1">
      <c r="A37" s="91" t="s">
        <v>298</v>
      </c>
      <c r="B37" s="91" t="s">
        <v>299</v>
      </c>
      <c r="C37" s="126" t="s">
        <v>187</v>
      </c>
      <c r="D37" s="126" t="s">
        <v>192</v>
      </c>
      <c r="E37" s="192" t="s">
        <v>300</v>
      </c>
    </row>
    <row r="38" spans="1:5" ht="15">
      <c r="A38" s="92"/>
      <c r="B38" s="92"/>
      <c r="C38" s="127" t="s">
        <v>84</v>
      </c>
      <c r="D38" s="127" t="s">
        <v>170</v>
      </c>
      <c r="E38" s="187"/>
    </row>
    <row r="39" spans="1:5" ht="15">
      <c r="A39" s="92"/>
      <c r="B39" s="93"/>
      <c r="C39" s="127" t="s">
        <v>27</v>
      </c>
      <c r="D39" s="127" t="s">
        <v>193</v>
      </c>
      <c r="E39" s="187"/>
    </row>
    <row r="40" spans="1:5" ht="15">
      <c r="A40" s="92"/>
      <c r="B40" s="93"/>
      <c r="C40" s="127" t="s">
        <v>82</v>
      </c>
      <c r="D40" s="127" t="s">
        <v>193</v>
      </c>
      <c r="E40" s="187"/>
    </row>
    <row r="41" spans="1:5" ht="15">
      <c r="A41" s="92"/>
      <c r="B41" s="93"/>
      <c r="C41" s="127" t="s">
        <v>78</v>
      </c>
      <c r="D41" s="127" t="s">
        <v>193</v>
      </c>
      <c r="E41" s="187"/>
    </row>
    <row r="42" spans="1:5" ht="15">
      <c r="A42" s="92"/>
      <c r="B42" s="93"/>
      <c r="C42" s="127" t="s">
        <v>199</v>
      </c>
      <c r="D42" s="127" t="s">
        <v>193</v>
      </c>
      <c r="E42" s="187"/>
    </row>
    <row r="43" spans="1:5" ht="15">
      <c r="A43" s="92"/>
      <c r="B43" s="93"/>
      <c r="C43" s="127" t="s">
        <v>164</v>
      </c>
      <c r="D43" s="127" t="s">
        <v>179</v>
      </c>
      <c r="E43" s="187"/>
    </row>
    <row r="44" spans="1:5" ht="15">
      <c r="A44" s="92"/>
      <c r="B44" s="93"/>
      <c r="C44" s="127" t="s">
        <v>165</v>
      </c>
      <c r="D44" s="127" t="s">
        <v>172</v>
      </c>
      <c r="E44" s="187"/>
    </row>
    <row r="45" spans="1:5" ht="15.75" thickBot="1">
      <c r="A45" s="92"/>
      <c r="B45" s="93"/>
      <c r="C45" s="127" t="s">
        <v>167</v>
      </c>
      <c r="D45" s="127" t="s">
        <v>174</v>
      </c>
      <c r="E45" s="187"/>
    </row>
    <row r="46" spans="1:5" ht="15.75" thickTop="1">
      <c r="A46" s="56" t="s">
        <v>301</v>
      </c>
      <c r="B46" s="56" t="s">
        <v>302</v>
      </c>
      <c r="C46" s="50" t="s">
        <v>187</v>
      </c>
      <c r="D46" s="50" t="s">
        <v>177</v>
      </c>
      <c r="E46" s="190" t="s">
        <v>303</v>
      </c>
    </row>
    <row r="47" spans="1:5" ht="15">
      <c r="A47" s="57"/>
      <c r="B47" s="57"/>
      <c r="C47" s="49" t="s">
        <v>164</v>
      </c>
      <c r="D47" s="49" t="s">
        <v>171</v>
      </c>
      <c r="E47" s="191"/>
    </row>
    <row r="48" spans="1:5" ht="15">
      <c r="A48" s="57"/>
      <c r="B48" s="51"/>
      <c r="C48" s="49" t="s">
        <v>165</v>
      </c>
      <c r="D48" s="49" t="s">
        <v>172</v>
      </c>
      <c r="E48" s="191"/>
    </row>
    <row r="49" spans="1:5" ht="15">
      <c r="A49" s="57"/>
      <c r="B49" s="52"/>
      <c r="C49" s="49" t="s">
        <v>166</v>
      </c>
      <c r="D49" s="49" t="s">
        <v>188</v>
      </c>
      <c r="E49" s="191"/>
    </row>
    <row r="50" spans="1:5" ht="15.75" thickBot="1">
      <c r="A50" s="57"/>
      <c r="B50" s="52"/>
      <c r="C50" s="49" t="s">
        <v>167</v>
      </c>
      <c r="D50" s="49" t="s">
        <v>174</v>
      </c>
      <c r="E50" s="191"/>
    </row>
    <row r="51" spans="1:5" ht="15.75" thickTop="1">
      <c r="A51" s="91" t="s">
        <v>304</v>
      </c>
      <c r="B51" s="91" t="s">
        <v>326</v>
      </c>
      <c r="C51" s="126" t="s">
        <v>176</v>
      </c>
      <c r="D51" s="126" t="s">
        <v>177</v>
      </c>
      <c r="E51" s="192" t="s">
        <v>305</v>
      </c>
    </row>
    <row r="52" spans="1:5" ht="15">
      <c r="A52" s="92"/>
      <c r="B52" s="92"/>
      <c r="C52" s="127" t="s">
        <v>166</v>
      </c>
      <c r="D52" s="127" t="s">
        <v>188</v>
      </c>
      <c r="E52" s="187"/>
    </row>
    <row r="53" spans="1:5" ht="15.75" thickBot="1">
      <c r="A53" s="92"/>
      <c r="B53" s="112"/>
      <c r="C53" s="93"/>
      <c r="D53" s="93"/>
      <c r="E53" s="187"/>
    </row>
    <row r="54" spans="1:5" ht="45.75" thickTop="1">
      <c r="A54" s="56" t="s">
        <v>306</v>
      </c>
      <c r="B54" s="56" t="s">
        <v>307</v>
      </c>
      <c r="C54" s="50" t="s">
        <v>308</v>
      </c>
      <c r="D54" s="50" t="s">
        <v>177</v>
      </c>
      <c r="E54" s="190" t="s">
        <v>311</v>
      </c>
    </row>
    <row r="55" spans="1:5" ht="15">
      <c r="A55" s="57"/>
      <c r="B55" s="51"/>
      <c r="C55" s="49" t="s">
        <v>78</v>
      </c>
      <c r="D55" s="49" t="s">
        <v>192</v>
      </c>
      <c r="E55" s="191"/>
    </row>
    <row r="56" spans="1:5" ht="15">
      <c r="A56" s="57"/>
      <c r="B56" s="57"/>
      <c r="C56" s="49" t="s">
        <v>234</v>
      </c>
      <c r="D56" s="49" t="s">
        <v>192</v>
      </c>
      <c r="E56" s="191"/>
    </row>
    <row r="57" spans="1:5" ht="15">
      <c r="A57" s="57"/>
      <c r="B57" s="52"/>
      <c r="C57" s="49" t="s">
        <v>82</v>
      </c>
      <c r="D57" s="49" t="s">
        <v>178</v>
      </c>
      <c r="E57" s="191"/>
    </row>
    <row r="58" spans="1:5" ht="15">
      <c r="A58" s="57"/>
      <c r="B58" s="52"/>
      <c r="C58" s="49" t="s">
        <v>191</v>
      </c>
      <c r="D58" s="49" t="s">
        <v>178</v>
      </c>
      <c r="E58" s="191"/>
    </row>
    <row r="59" spans="1:5" ht="15">
      <c r="A59" s="57"/>
      <c r="B59" s="52"/>
      <c r="C59" s="49" t="s">
        <v>27</v>
      </c>
      <c r="D59" s="49" t="s">
        <v>178</v>
      </c>
      <c r="E59" s="191"/>
    </row>
    <row r="60" spans="1:5" ht="15">
      <c r="A60" s="57"/>
      <c r="B60" s="52"/>
      <c r="C60" s="49" t="s">
        <v>309</v>
      </c>
      <c r="D60" s="49" t="s">
        <v>178</v>
      </c>
      <c r="E60" s="191"/>
    </row>
    <row r="61" spans="1:5" ht="15">
      <c r="A61" s="57"/>
      <c r="B61" s="52"/>
      <c r="C61" s="49" t="s">
        <v>310</v>
      </c>
      <c r="D61" s="49" t="s">
        <v>169</v>
      </c>
      <c r="E61" s="191"/>
    </row>
    <row r="62" spans="1:5" ht="15">
      <c r="A62" s="57"/>
      <c r="B62" s="52"/>
      <c r="C62" s="49" t="s">
        <v>199</v>
      </c>
      <c r="D62" s="49" t="s">
        <v>193</v>
      </c>
      <c r="E62" s="191"/>
    </row>
    <row r="63" spans="1:5" ht="15.75" thickBot="1">
      <c r="A63" s="57"/>
      <c r="B63" s="52"/>
      <c r="C63" s="49" t="s">
        <v>166</v>
      </c>
      <c r="D63" s="49" t="s">
        <v>188</v>
      </c>
      <c r="E63" s="191"/>
    </row>
    <row r="64" spans="1:5" ht="45.75" thickTop="1">
      <c r="A64" s="91" t="s">
        <v>312</v>
      </c>
      <c r="B64" s="91" t="s">
        <v>327</v>
      </c>
      <c r="C64" s="126" t="s">
        <v>78</v>
      </c>
      <c r="D64" s="126" t="s">
        <v>192</v>
      </c>
      <c r="E64" s="192" t="s">
        <v>313</v>
      </c>
    </row>
    <row r="65" spans="1:5" ht="15">
      <c r="A65" s="92"/>
      <c r="B65" s="92"/>
      <c r="C65" s="127" t="s">
        <v>27</v>
      </c>
      <c r="D65" s="127" t="s">
        <v>178</v>
      </c>
      <c r="E65" s="187"/>
    </row>
    <row r="66" spans="1:5" ht="15">
      <c r="A66" s="92"/>
      <c r="B66" s="112"/>
      <c r="C66" s="127" t="s">
        <v>82</v>
      </c>
      <c r="D66" s="127" t="s">
        <v>178</v>
      </c>
      <c r="E66" s="187"/>
    </row>
    <row r="67" spans="1:5" ht="15">
      <c r="A67" s="92"/>
      <c r="B67" s="112"/>
      <c r="C67" s="127" t="s">
        <v>191</v>
      </c>
      <c r="D67" s="127" t="s">
        <v>178</v>
      </c>
      <c r="E67" s="187"/>
    </row>
    <row r="68" spans="1:5" ht="15">
      <c r="A68" s="92"/>
      <c r="B68" s="93"/>
      <c r="C68" s="127" t="s">
        <v>225</v>
      </c>
      <c r="D68" s="127" t="s">
        <v>169</v>
      </c>
      <c r="E68" s="187"/>
    </row>
    <row r="69" spans="1:5" ht="15">
      <c r="A69" s="92"/>
      <c r="B69" s="93"/>
      <c r="C69" s="127" t="s">
        <v>189</v>
      </c>
      <c r="D69" s="127" t="s">
        <v>178</v>
      </c>
      <c r="E69" s="187"/>
    </row>
    <row r="70" spans="1:5" ht="15">
      <c r="A70" s="92"/>
      <c r="B70" s="93"/>
      <c r="C70" s="127" t="s">
        <v>84</v>
      </c>
      <c r="D70" s="127" t="s">
        <v>170</v>
      </c>
      <c r="E70" s="187"/>
    </row>
    <row r="71" spans="1:5" ht="15">
      <c r="A71" s="92"/>
      <c r="B71" s="93"/>
      <c r="C71" s="127" t="s">
        <v>164</v>
      </c>
      <c r="D71" s="127" t="s">
        <v>171</v>
      </c>
      <c r="E71" s="187"/>
    </row>
    <row r="72" spans="1:5" ht="15">
      <c r="A72" s="92"/>
      <c r="B72" s="93"/>
      <c r="C72" s="127" t="s">
        <v>165</v>
      </c>
      <c r="D72" s="127" t="s">
        <v>172</v>
      </c>
      <c r="E72" s="187"/>
    </row>
    <row r="73" spans="1:5" ht="15">
      <c r="A73" s="92"/>
      <c r="B73" s="93"/>
      <c r="C73" s="127" t="s">
        <v>166</v>
      </c>
      <c r="D73" s="127" t="s">
        <v>188</v>
      </c>
      <c r="E73" s="187"/>
    </row>
    <row r="74" spans="1:5" ht="15.75" thickBot="1">
      <c r="A74" s="92"/>
      <c r="B74" s="93"/>
      <c r="C74" s="127" t="s">
        <v>167</v>
      </c>
      <c r="D74" s="127" t="s">
        <v>174</v>
      </c>
      <c r="E74" s="187"/>
    </row>
    <row r="75" spans="1:5" ht="15.75" thickTop="1">
      <c r="A75" s="56" t="s">
        <v>314</v>
      </c>
      <c r="B75" s="56" t="s">
        <v>34</v>
      </c>
      <c r="C75" s="50" t="s">
        <v>27</v>
      </c>
      <c r="D75" s="50" t="s">
        <v>178</v>
      </c>
      <c r="E75" s="190" t="s">
        <v>315</v>
      </c>
    </row>
    <row r="76" spans="1:5" ht="15">
      <c r="A76" s="57"/>
      <c r="B76" s="57"/>
      <c r="C76" s="49" t="s">
        <v>191</v>
      </c>
      <c r="D76" s="49" t="s">
        <v>178</v>
      </c>
      <c r="E76" s="191"/>
    </row>
    <row r="77" spans="1:5" ht="15">
      <c r="A77" s="57"/>
      <c r="B77" s="52"/>
      <c r="C77" s="49" t="s">
        <v>82</v>
      </c>
      <c r="D77" s="49" t="s">
        <v>178</v>
      </c>
      <c r="E77" s="191"/>
    </row>
    <row r="78" spans="1:5" ht="15">
      <c r="A78" s="57"/>
      <c r="B78" s="52"/>
      <c r="C78" s="49" t="s">
        <v>165</v>
      </c>
      <c r="D78" s="49" t="s">
        <v>205</v>
      </c>
      <c r="E78" s="191"/>
    </row>
    <row r="79" spans="1:5" ht="15.75" thickBot="1">
      <c r="A79" s="57"/>
      <c r="B79" s="52"/>
      <c r="C79" s="49" t="s">
        <v>166</v>
      </c>
      <c r="D79" s="49" t="s">
        <v>188</v>
      </c>
      <c r="E79" s="191"/>
    </row>
    <row r="80" spans="1:5" ht="30.75" thickTop="1">
      <c r="A80" s="91" t="s">
        <v>316</v>
      </c>
      <c r="B80" s="91" t="s">
        <v>317</v>
      </c>
      <c r="C80" s="126" t="s">
        <v>183</v>
      </c>
      <c r="D80" s="126" t="s">
        <v>201</v>
      </c>
      <c r="E80" s="192" t="s">
        <v>318</v>
      </c>
    </row>
    <row r="81" spans="1:5" ht="15">
      <c r="A81" s="92"/>
      <c r="B81" s="92"/>
      <c r="C81" s="127" t="s">
        <v>191</v>
      </c>
      <c r="D81" s="127" t="s">
        <v>203</v>
      </c>
      <c r="E81" s="187"/>
    </row>
    <row r="82" spans="1:5" ht="15">
      <c r="A82" s="92"/>
      <c r="B82" s="93"/>
      <c r="C82" s="127" t="s">
        <v>27</v>
      </c>
      <c r="D82" s="127" t="s">
        <v>203</v>
      </c>
      <c r="E82" s="187"/>
    </row>
    <row r="83" spans="1:5" ht="15">
      <c r="A83" s="92"/>
      <c r="B83" s="93"/>
      <c r="C83" s="127" t="s">
        <v>82</v>
      </c>
      <c r="D83" s="127" t="s">
        <v>178</v>
      </c>
      <c r="E83" s="187"/>
    </row>
    <row r="84" spans="1:5" ht="15">
      <c r="A84" s="92"/>
      <c r="B84" s="93"/>
      <c r="C84" s="127" t="s">
        <v>164</v>
      </c>
      <c r="D84" s="127" t="s">
        <v>179</v>
      </c>
      <c r="E84" s="187"/>
    </row>
    <row r="85" spans="1:5" ht="15">
      <c r="A85" s="92"/>
      <c r="B85" s="93"/>
      <c r="C85" s="127" t="s">
        <v>166</v>
      </c>
      <c r="D85" s="127" t="s">
        <v>188</v>
      </c>
      <c r="E85" s="187"/>
    </row>
    <row r="86" spans="1:5" ht="15.75" thickBot="1">
      <c r="A86" s="92"/>
      <c r="B86" s="93"/>
      <c r="C86" s="127" t="s">
        <v>167</v>
      </c>
      <c r="D86" s="127" t="s">
        <v>174</v>
      </c>
      <c r="E86" s="187"/>
    </row>
    <row r="87" spans="1:5" ht="15.75" thickTop="1">
      <c r="A87" s="56" t="s">
        <v>319</v>
      </c>
      <c r="B87" s="56" t="s">
        <v>320</v>
      </c>
      <c r="C87" s="50" t="s">
        <v>187</v>
      </c>
      <c r="D87" s="50" t="s">
        <v>192</v>
      </c>
      <c r="E87" s="190" t="s">
        <v>321</v>
      </c>
    </row>
    <row r="88" spans="1:5" ht="15">
      <c r="A88" s="57"/>
      <c r="B88" s="57"/>
      <c r="C88" s="49" t="s">
        <v>84</v>
      </c>
      <c r="D88" s="49" t="s">
        <v>170</v>
      </c>
      <c r="E88" s="191"/>
    </row>
    <row r="89" spans="1:5" ht="15">
      <c r="A89" s="57"/>
      <c r="B89" s="51"/>
      <c r="C89" s="49" t="s">
        <v>116</v>
      </c>
      <c r="D89" s="49" t="s">
        <v>179</v>
      </c>
      <c r="E89" s="191"/>
    </row>
    <row r="90" spans="1:5" ht="15">
      <c r="A90" s="57"/>
      <c r="B90" s="52"/>
      <c r="C90" s="49" t="s">
        <v>164</v>
      </c>
      <c r="D90" s="49" t="s">
        <v>171</v>
      </c>
      <c r="E90" s="191"/>
    </row>
    <row r="91" spans="1:5" ht="15">
      <c r="A91" s="57"/>
      <c r="B91" s="52"/>
      <c r="C91" s="49" t="s">
        <v>165</v>
      </c>
      <c r="D91" s="49" t="s">
        <v>172</v>
      </c>
      <c r="E91" s="191"/>
    </row>
    <row r="92" spans="1:5" ht="15">
      <c r="A92" s="57"/>
      <c r="B92" s="52"/>
      <c r="C92" s="49" t="s">
        <v>166</v>
      </c>
      <c r="D92" s="49" t="s">
        <v>188</v>
      </c>
      <c r="E92" s="191"/>
    </row>
    <row r="93" spans="1:5" ht="15.75" thickBot="1">
      <c r="A93" s="57"/>
      <c r="B93" s="52"/>
      <c r="C93" s="49" t="s">
        <v>167</v>
      </c>
      <c r="D93" s="49" t="s">
        <v>174</v>
      </c>
      <c r="E93" s="191"/>
    </row>
    <row r="94" spans="1:5" ht="114" customHeight="1" thickTop="1">
      <c r="A94" s="91" t="s">
        <v>322</v>
      </c>
      <c r="B94" s="91" t="s">
        <v>323</v>
      </c>
      <c r="C94" s="126" t="s">
        <v>167</v>
      </c>
      <c r="D94" s="126" t="s">
        <v>174</v>
      </c>
      <c r="E94" s="156" t="s">
        <v>324</v>
      </c>
    </row>
    <row r="95" spans="1:5" ht="15">
      <c r="A95" s="92"/>
      <c r="B95" s="92"/>
      <c r="C95" s="127" t="s">
        <v>164</v>
      </c>
      <c r="D95" s="127" t="s">
        <v>171</v>
      </c>
      <c r="E95" s="92"/>
    </row>
    <row r="96" spans="1:5" ht="15">
      <c r="A96" s="92"/>
      <c r="B96" s="112"/>
      <c r="C96" s="127" t="s">
        <v>165</v>
      </c>
      <c r="D96" s="127" t="s">
        <v>172</v>
      </c>
      <c r="E96" s="128"/>
    </row>
    <row r="97" spans="1:5" ht="15">
      <c r="A97" s="92"/>
      <c r="B97" s="93"/>
      <c r="C97" s="127" t="s">
        <v>27</v>
      </c>
      <c r="D97" s="127" t="s">
        <v>178</v>
      </c>
      <c r="E97" s="93"/>
    </row>
    <row r="98" spans="1:5" ht="15">
      <c r="A98" s="92"/>
      <c r="B98" s="93"/>
      <c r="C98" s="127" t="s">
        <v>191</v>
      </c>
      <c r="D98" s="127" t="s">
        <v>178</v>
      </c>
      <c r="E98" s="93"/>
    </row>
    <row r="99" spans="1:5" ht="15">
      <c r="A99" s="92"/>
      <c r="B99" s="93"/>
      <c r="C99" s="127" t="s">
        <v>82</v>
      </c>
      <c r="D99" s="127" t="s">
        <v>178</v>
      </c>
      <c r="E99" s="93"/>
    </row>
    <row r="100" spans="1:5" ht="15">
      <c r="A100" s="92"/>
      <c r="B100" s="93"/>
      <c r="C100" s="127" t="s">
        <v>165</v>
      </c>
      <c r="D100" s="127" t="s">
        <v>205</v>
      </c>
      <c r="E100" s="93"/>
    </row>
    <row r="101" spans="1:5" ht="15">
      <c r="A101" s="92"/>
      <c r="B101" s="93"/>
      <c r="C101" s="127" t="s">
        <v>166</v>
      </c>
      <c r="D101" s="127" t="s">
        <v>188</v>
      </c>
      <c r="E101" s="93"/>
    </row>
    <row r="102" spans="1:5" ht="15.75" thickBot="1">
      <c r="A102" s="157"/>
      <c r="B102" s="158"/>
      <c r="C102" s="159"/>
      <c r="D102" s="159"/>
      <c r="E102" s="158"/>
    </row>
    <row r="103" spans="1:5" ht="13.5" thickTop="1">
      <c r="A103" s="58"/>
      <c r="B103" s="58"/>
      <c r="C103" s="58"/>
      <c r="D103" s="58"/>
      <c r="E103" s="58"/>
    </row>
    <row r="104" spans="1:5">
      <c r="A104" s="58"/>
      <c r="B104" s="58"/>
      <c r="C104" s="58"/>
      <c r="D104" s="58"/>
      <c r="E104" s="58"/>
    </row>
    <row r="105" spans="1:5">
      <c r="A105" s="58"/>
      <c r="B105" s="58"/>
      <c r="C105" s="58"/>
      <c r="D105" s="58"/>
      <c r="E105" s="58"/>
    </row>
    <row r="106" spans="1:5">
      <c r="A106" s="58"/>
      <c r="B106" s="58"/>
      <c r="C106" s="58"/>
      <c r="D106" s="58"/>
      <c r="E106" s="58"/>
    </row>
    <row r="107" spans="1:5">
      <c r="A107" s="58"/>
      <c r="B107" s="58"/>
      <c r="C107" s="58"/>
      <c r="D107" s="58"/>
      <c r="E107" s="58"/>
    </row>
    <row r="108" spans="1:5">
      <c r="A108" s="58"/>
      <c r="B108" s="58"/>
      <c r="C108" s="58"/>
      <c r="D108" s="58"/>
      <c r="E108" s="58"/>
    </row>
    <row r="109" spans="1:5">
      <c r="A109" s="58"/>
      <c r="B109" s="58"/>
      <c r="C109" s="58"/>
      <c r="D109" s="58"/>
      <c r="E109" s="58"/>
    </row>
    <row r="110" spans="1:5">
      <c r="A110" s="58"/>
      <c r="B110" s="58"/>
      <c r="C110" s="58"/>
      <c r="D110" s="58"/>
      <c r="E110" s="58"/>
    </row>
    <row r="111" spans="1:5">
      <c r="A111" s="58"/>
      <c r="B111" s="58"/>
      <c r="C111" s="58"/>
      <c r="D111" s="58"/>
      <c r="E111" s="58"/>
    </row>
    <row r="112" spans="1:5">
      <c r="A112" s="58"/>
      <c r="B112" s="58"/>
      <c r="C112" s="58"/>
      <c r="D112" s="58"/>
      <c r="E112" s="58"/>
    </row>
    <row r="113" spans="1:5">
      <c r="A113" s="58"/>
      <c r="B113" s="58"/>
      <c r="C113" s="58"/>
      <c r="D113" s="58"/>
      <c r="E113" s="58"/>
    </row>
    <row r="114" spans="1:5">
      <c r="A114" s="58"/>
      <c r="B114" s="58"/>
      <c r="C114" s="58"/>
      <c r="D114" s="58"/>
      <c r="E114" s="58"/>
    </row>
  </sheetData>
  <mergeCells count="15">
    <mergeCell ref="E21:E25"/>
    <mergeCell ref="A5:E5"/>
    <mergeCell ref="E9:E12"/>
    <mergeCell ref="E13:E17"/>
    <mergeCell ref="E18:E20"/>
    <mergeCell ref="E87:E93"/>
    <mergeCell ref="E26:E30"/>
    <mergeCell ref="E31:E36"/>
    <mergeCell ref="E37:E45"/>
    <mergeCell ref="E46:E50"/>
    <mergeCell ref="E51:E53"/>
    <mergeCell ref="E54:E63"/>
    <mergeCell ref="E64:E74"/>
    <mergeCell ref="E75:E79"/>
    <mergeCell ref="E80:E86"/>
  </mergeCells>
  <phoneticPr fontId="10" type="noConversion"/>
  <pageMargins left="0.74803149606299213" right="0.74803149606299213" top="0" bottom="0" header="0.31496062992125984" footer="0.31496062992125984"/>
  <pageSetup scale="6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5:F78"/>
  <sheetViews>
    <sheetView showGridLines="0" topLeftCell="A14" zoomScale="120" zoomScaleNormal="120" workbookViewId="0">
      <selection activeCell="G25" sqref="G25"/>
    </sheetView>
  </sheetViews>
  <sheetFormatPr defaultRowHeight="12.75"/>
  <cols>
    <col min="1" max="1" width="13.5703125" customWidth="1"/>
    <col min="2" max="2" width="22.7109375" customWidth="1"/>
    <col min="3" max="3" width="30" customWidth="1"/>
    <col min="4" max="4" width="44.85546875" bestFit="1" customWidth="1"/>
    <col min="5" max="5" width="60.7109375" customWidth="1"/>
    <col min="6" max="6" width="14" customWidth="1"/>
  </cols>
  <sheetData>
    <row r="5" spans="1:6" ht="18">
      <c r="A5" s="175" t="s">
        <v>50</v>
      </c>
      <c r="B5" s="175"/>
      <c r="C5" s="175"/>
      <c r="D5" s="175"/>
      <c r="E5" s="175"/>
      <c r="F5" s="175"/>
    </row>
    <row r="6" spans="1:6" ht="13.5" thickBot="1"/>
    <row r="7" spans="1:6" s="7" customFormat="1" ht="36" customHeight="1" thickTop="1" thickBot="1">
      <c r="A7" s="59" t="s">
        <v>45</v>
      </c>
      <c r="B7" s="59" t="s">
        <v>46</v>
      </c>
      <c r="C7" s="59" t="s">
        <v>43</v>
      </c>
      <c r="D7" s="6" t="s">
        <v>44</v>
      </c>
      <c r="E7" s="53" t="s">
        <v>47</v>
      </c>
    </row>
    <row r="8" spans="1:6" ht="78" customHeight="1" thickTop="1">
      <c r="A8" s="112" t="s">
        <v>328</v>
      </c>
      <c r="B8" s="112" t="s">
        <v>329</v>
      </c>
      <c r="C8" s="124" t="s">
        <v>330</v>
      </c>
      <c r="D8" s="124" t="s">
        <v>335</v>
      </c>
      <c r="E8" s="174" t="s">
        <v>337</v>
      </c>
    </row>
    <row r="9" spans="1:6" ht="15">
      <c r="A9" s="92"/>
      <c r="B9" s="92"/>
      <c r="C9" s="124" t="s">
        <v>331</v>
      </c>
      <c r="D9" s="124" t="s">
        <v>336</v>
      </c>
      <c r="E9" s="174"/>
    </row>
    <row r="10" spans="1:6" ht="15">
      <c r="A10" s="92"/>
      <c r="B10" s="93"/>
      <c r="C10" s="124" t="s">
        <v>332</v>
      </c>
      <c r="D10" s="124" t="s">
        <v>180</v>
      </c>
      <c r="E10" s="174"/>
    </row>
    <row r="11" spans="1:6" ht="15">
      <c r="A11" s="92"/>
      <c r="B11" s="93"/>
      <c r="C11" s="124" t="s">
        <v>333</v>
      </c>
      <c r="D11" s="124" t="s">
        <v>180</v>
      </c>
      <c r="E11" s="174"/>
    </row>
    <row r="12" spans="1:6" ht="15">
      <c r="A12" s="92"/>
      <c r="B12" s="93"/>
      <c r="C12" s="124" t="s">
        <v>330</v>
      </c>
      <c r="D12" s="124" t="s">
        <v>335</v>
      </c>
      <c r="E12" s="174"/>
    </row>
    <row r="13" spans="1:6" ht="15.75" thickBot="1">
      <c r="A13" s="92"/>
      <c r="B13" s="93"/>
      <c r="C13" s="124" t="s">
        <v>334</v>
      </c>
      <c r="D13" s="124" t="s">
        <v>180</v>
      </c>
      <c r="E13" s="174"/>
    </row>
    <row r="14" spans="1:6" ht="30.75" thickTop="1">
      <c r="A14" s="132" t="s">
        <v>338</v>
      </c>
      <c r="B14" s="132" t="s">
        <v>360</v>
      </c>
      <c r="C14" s="133" t="s">
        <v>341</v>
      </c>
      <c r="D14" s="133" t="s">
        <v>206</v>
      </c>
      <c r="E14" s="195" t="s">
        <v>343</v>
      </c>
    </row>
    <row r="15" spans="1:6" ht="15">
      <c r="A15" s="134"/>
      <c r="B15" s="134"/>
      <c r="C15" s="135" t="s">
        <v>342</v>
      </c>
      <c r="D15" s="135" t="s">
        <v>174</v>
      </c>
      <c r="E15" s="196"/>
    </row>
    <row r="16" spans="1:6">
      <c r="A16" s="134"/>
      <c r="B16" s="134"/>
      <c r="C16" s="136"/>
      <c r="D16" s="136"/>
      <c r="E16" s="196"/>
    </row>
    <row r="17" spans="1:5" ht="15">
      <c r="A17" s="134"/>
      <c r="B17" s="137"/>
      <c r="C17" s="136"/>
      <c r="D17" s="136"/>
      <c r="E17" s="196"/>
    </row>
    <row r="18" spans="1:5" ht="15">
      <c r="A18" s="134"/>
      <c r="B18" s="137"/>
      <c r="C18" s="136"/>
      <c r="D18" s="136"/>
      <c r="E18" s="196"/>
    </row>
    <row r="19" spans="1:5" ht="15.75" thickBot="1">
      <c r="A19" s="138"/>
      <c r="B19" s="139"/>
      <c r="C19" s="140"/>
      <c r="D19" s="140"/>
      <c r="E19" s="197"/>
    </row>
    <row r="20" spans="1:5" ht="59.25" customHeight="1" thickTop="1">
      <c r="A20" s="141" t="s">
        <v>339</v>
      </c>
      <c r="B20" s="141" t="s">
        <v>361</v>
      </c>
      <c r="C20" s="142" t="s">
        <v>341</v>
      </c>
      <c r="D20" s="142" t="s">
        <v>206</v>
      </c>
      <c r="E20" s="198" t="s">
        <v>345</v>
      </c>
    </row>
    <row r="21" spans="1:5" ht="15">
      <c r="A21" s="143"/>
      <c r="B21" s="143"/>
      <c r="C21" s="144" t="s">
        <v>342</v>
      </c>
      <c r="D21" s="144" t="s">
        <v>174</v>
      </c>
      <c r="E21" s="199"/>
    </row>
    <row r="22" spans="1:5" ht="15">
      <c r="A22" s="143"/>
      <c r="B22" s="145"/>
      <c r="C22" s="144" t="s">
        <v>344</v>
      </c>
      <c r="D22" s="144" t="s">
        <v>174</v>
      </c>
      <c r="E22" s="199"/>
    </row>
    <row r="23" spans="1:5" ht="15.75" thickBot="1">
      <c r="A23" s="146"/>
      <c r="B23" s="147"/>
      <c r="C23" s="148"/>
      <c r="D23" s="148"/>
      <c r="E23" s="200"/>
    </row>
    <row r="24" spans="1:5" ht="15.75" thickTop="1">
      <c r="A24" s="132" t="s">
        <v>340</v>
      </c>
      <c r="B24" s="132" t="s">
        <v>346</v>
      </c>
      <c r="C24" s="133" t="s">
        <v>347</v>
      </c>
      <c r="D24" s="133" t="s">
        <v>200</v>
      </c>
      <c r="E24" s="195" t="s">
        <v>359</v>
      </c>
    </row>
    <row r="25" spans="1:5" ht="15">
      <c r="A25" s="134"/>
      <c r="B25" s="134"/>
      <c r="C25" s="135"/>
      <c r="D25" s="135"/>
      <c r="E25" s="196"/>
    </row>
    <row r="26" spans="1:5" ht="44.25" customHeight="1">
      <c r="A26" s="134"/>
      <c r="B26" s="137"/>
      <c r="C26" s="135" t="s">
        <v>348</v>
      </c>
      <c r="D26" s="135" t="s">
        <v>190</v>
      </c>
      <c r="E26" s="196"/>
    </row>
    <row r="27" spans="1:5" ht="15">
      <c r="A27" s="134"/>
      <c r="B27" s="136"/>
      <c r="C27" s="135"/>
      <c r="D27" s="135"/>
      <c r="E27" s="196"/>
    </row>
    <row r="28" spans="1:5" ht="15">
      <c r="A28" s="134"/>
      <c r="B28" s="136"/>
      <c r="C28" s="135" t="s">
        <v>349</v>
      </c>
      <c r="D28" s="135"/>
      <c r="E28" s="196"/>
    </row>
    <row r="29" spans="1:5" ht="15">
      <c r="A29" s="134"/>
      <c r="B29" s="136"/>
      <c r="C29" s="135" t="s">
        <v>350</v>
      </c>
      <c r="D29" s="135" t="s">
        <v>168</v>
      </c>
      <c r="E29" s="196"/>
    </row>
    <row r="30" spans="1:5" ht="15">
      <c r="A30" s="134"/>
      <c r="B30" s="136"/>
      <c r="C30" s="135" t="s">
        <v>351</v>
      </c>
      <c r="D30" s="135"/>
      <c r="E30" s="196"/>
    </row>
    <row r="31" spans="1:5" ht="15">
      <c r="A31" s="134"/>
      <c r="B31" s="136"/>
      <c r="C31" s="135"/>
      <c r="D31" s="135"/>
      <c r="E31" s="196"/>
    </row>
    <row r="32" spans="1:5" ht="15">
      <c r="A32" s="134"/>
      <c r="B32" s="136"/>
      <c r="C32" s="135" t="s">
        <v>352</v>
      </c>
      <c r="D32" s="135"/>
      <c r="E32" s="196"/>
    </row>
    <row r="33" spans="1:5" ht="15">
      <c r="A33" s="134"/>
      <c r="B33" s="136"/>
      <c r="C33" s="135" t="s">
        <v>332</v>
      </c>
      <c r="D33" s="135"/>
      <c r="E33" s="196"/>
    </row>
    <row r="34" spans="1:5" ht="15">
      <c r="A34" s="134"/>
      <c r="B34" s="136"/>
      <c r="C34" s="135"/>
      <c r="D34" s="135" t="s">
        <v>206</v>
      </c>
      <c r="E34" s="196"/>
    </row>
    <row r="35" spans="1:5" ht="15">
      <c r="A35" s="134"/>
      <c r="B35" s="136"/>
      <c r="C35" s="135" t="s">
        <v>353</v>
      </c>
      <c r="D35" s="135"/>
      <c r="E35" s="196"/>
    </row>
    <row r="36" spans="1:5" ht="15">
      <c r="A36" s="134"/>
      <c r="B36" s="136"/>
      <c r="C36" s="135" t="s">
        <v>354</v>
      </c>
      <c r="D36" s="135"/>
      <c r="E36" s="196"/>
    </row>
    <row r="37" spans="1:5" ht="59.25" customHeight="1">
      <c r="A37" s="134"/>
      <c r="B37" s="136"/>
      <c r="C37" s="135"/>
      <c r="D37" s="135"/>
      <c r="E37" s="196"/>
    </row>
    <row r="38" spans="1:5" ht="124.5" customHeight="1">
      <c r="A38" s="134"/>
      <c r="B38" s="136"/>
      <c r="C38" s="135" t="s">
        <v>355</v>
      </c>
      <c r="D38" s="135" t="s">
        <v>358</v>
      </c>
      <c r="E38" s="196"/>
    </row>
    <row r="39" spans="1:5" ht="15">
      <c r="A39" s="134"/>
      <c r="B39" s="136"/>
      <c r="C39" s="135"/>
      <c r="D39" s="135"/>
      <c r="E39" s="196"/>
    </row>
    <row r="40" spans="1:5" ht="15">
      <c r="A40" s="134"/>
      <c r="B40" s="136"/>
      <c r="C40" s="135" t="s">
        <v>356</v>
      </c>
      <c r="D40" s="135" t="s">
        <v>185</v>
      </c>
      <c r="E40" s="196"/>
    </row>
    <row r="41" spans="1:5" ht="15">
      <c r="A41" s="134"/>
      <c r="B41" s="136"/>
      <c r="C41" s="135"/>
      <c r="D41" s="135"/>
      <c r="E41" s="196"/>
    </row>
    <row r="42" spans="1:5" ht="15">
      <c r="A42" s="134"/>
      <c r="B42" s="136"/>
      <c r="C42" s="135" t="s">
        <v>357</v>
      </c>
      <c r="D42" s="135" t="s">
        <v>208</v>
      </c>
      <c r="E42" s="196"/>
    </row>
    <row r="43" spans="1:5" ht="15">
      <c r="A43" s="134"/>
      <c r="B43" s="136"/>
      <c r="C43" s="136"/>
      <c r="D43" s="135"/>
      <c r="E43" s="196"/>
    </row>
    <row r="44" spans="1:5" ht="30.75" customHeight="1" thickBot="1">
      <c r="A44" s="138"/>
      <c r="B44" s="140"/>
      <c r="C44" s="140"/>
      <c r="D44" s="149" t="s">
        <v>195</v>
      </c>
      <c r="E44" s="197"/>
    </row>
    <row r="45" spans="1:5" ht="13.5" thickTop="1">
      <c r="A45" s="103"/>
      <c r="B45" s="103"/>
      <c r="C45" s="103"/>
      <c r="D45" s="103"/>
      <c r="E45" s="103"/>
    </row>
    <row r="46" spans="1:5" ht="12.75" customHeight="1">
      <c r="A46" s="103"/>
      <c r="B46" s="103"/>
      <c r="C46" s="103"/>
      <c r="D46" s="103"/>
      <c r="E46" s="103"/>
    </row>
    <row r="47" spans="1:5">
      <c r="A47" s="150"/>
      <c r="B47" s="150"/>
      <c r="C47" s="150"/>
      <c r="D47" s="150"/>
      <c r="E47" s="150"/>
    </row>
    <row r="48" spans="1:5">
      <c r="A48" s="150"/>
      <c r="B48" s="150"/>
      <c r="C48" s="150"/>
      <c r="D48" s="150"/>
      <c r="E48" s="150"/>
    </row>
    <row r="49" spans="1:5">
      <c r="A49" s="150"/>
      <c r="B49" s="150"/>
      <c r="C49" s="150"/>
      <c r="D49" s="150"/>
      <c r="E49" s="150"/>
    </row>
    <row r="50" spans="1:5" ht="65.25" customHeight="1"/>
    <row r="54" spans="1:5" ht="15.75" customHeight="1"/>
    <row r="75" ht="63" customHeight="1"/>
    <row r="78" ht="38.25" customHeight="1"/>
  </sheetData>
  <mergeCells count="5">
    <mergeCell ref="A5:F5"/>
    <mergeCell ref="E8:E13"/>
    <mergeCell ref="E14:E19"/>
    <mergeCell ref="E20:E23"/>
    <mergeCell ref="E24:E44"/>
  </mergeCells>
  <phoneticPr fontId="10" type="noConversion"/>
  <pageMargins left="0.74803149606299213" right="0.74803149606299213" top="0" bottom="0" header="0.31496062992125984" footer="0.31496062992125984"/>
  <pageSetup scale="86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5:E16"/>
  <sheetViews>
    <sheetView showGridLines="0" zoomScale="85" zoomScaleNormal="85" workbookViewId="0">
      <selection activeCell="D33" sqref="D33"/>
    </sheetView>
  </sheetViews>
  <sheetFormatPr defaultRowHeight="12.75"/>
  <cols>
    <col min="1" max="1" width="14.28515625" customWidth="1"/>
    <col min="2" max="2" width="39.5703125" customWidth="1"/>
    <col min="3" max="3" width="54.28515625" customWidth="1"/>
    <col min="4" max="4" width="22.140625" customWidth="1"/>
    <col min="5" max="5" width="49.42578125" customWidth="1"/>
  </cols>
  <sheetData>
    <row r="5" spans="1:5" ht="18">
      <c r="A5" s="175" t="s">
        <v>81</v>
      </c>
      <c r="B5" s="175"/>
      <c r="C5" s="175"/>
      <c r="D5" s="175"/>
      <c r="E5" s="175"/>
    </row>
    <row r="7" spans="1:5" ht="13.5" thickBot="1"/>
    <row r="8" spans="1:5" s="7" customFormat="1" ht="31.5" customHeight="1" thickTop="1" thickBot="1">
      <c r="A8" s="59" t="s">
        <v>45</v>
      </c>
      <c r="B8" s="59" t="s">
        <v>46</v>
      </c>
      <c r="C8" s="59" t="s">
        <v>43</v>
      </c>
      <c r="D8" s="59" t="s">
        <v>44</v>
      </c>
      <c r="E8" s="53" t="s">
        <v>47</v>
      </c>
    </row>
    <row r="9" spans="1:5" ht="49.5" customHeight="1" thickTop="1">
      <c r="A9" s="141" t="s">
        <v>362</v>
      </c>
      <c r="B9" s="141" t="s">
        <v>363</v>
      </c>
      <c r="C9" s="142" t="s">
        <v>364</v>
      </c>
      <c r="D9" s="142" t="s">
        <v>368</v>
      </c>
      <c r="E9" s="198" t="s">
        <v>372</v>
      </c>
    </row>
    <row r="10" spans="1:5" ht="15">
      <c r="A10" s="152"/>
      <c r="B10" s="152"/>
      <c r="C10" s="144" t="s">
        <v>365</v>
      </c>
      <c r="D10" s="144" t="s">
        <v>369</v>
      </c>
      <c r="E10" s="199"/>
    </row>
    <row r="11" spans="1:5" ht="15">
      <c r="A11" s="152"/>
      <c r="B11" s="153"/>
      <c r="C11" s="144" t="s">
        <v>366</v>
      </c>
      <c r="D11" s="144" t="s">
        <v>370</v>
      </c>
      <c r="E11" s="199"/>
    </row>
    <row r="12" spans="1:5" ht="15">
      <c r="A12" s="152"/>
      <c r="B12" s="153"/>
      <c r="C12" s="144"/>
      <c r="D12" s="154"/>
      <c r="E12" s="199"/>
    </row>
    <row r="13" spans="1:5" ht="15">
      <c r="A13" s="152"/>
      <c r="B13" s="153"/>
      <c r="C13" s="144" t="s">
        <v>367</v>
      </c>
      <c r="D13" s="144" t="s">
        <v>371</v>
      </c>
      <c r="E13" s="199"/>
    </row>
    <row r="14" spans="1:5">
      <c r="A14" s="152"/>
      <c r="B14" s="153"/>
      <c r="C14" s="152"/>
      <c r="D14" s="152"/>
      <c r="E14" s="199"/>
    </row>
    <row r="15" spans="1:5" ht="13.5" thickBot="1">
      <c r="A15" s="155"/>
      <c r="B15" s="148"/>
      <c r="C15" s="155"/>
      <c r="D15" s="155"/>
      <c r="E15" s="200"/>
    </row>
    <row r="16" spans="1:5" ht="13.5" thickTop="1"/>
  </sheetData>
  <mergeCells count="2">
    <mergeCell ref="A5:E5"/>
    <mergeCell ref="E9:E15"/>
  </mergeCells>
  <phoneticPr fontId="10" type="noConversion"/>
  <pageMargins left="0.78740157480314965" right="0.75" top="0" bottom="0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6</vt:i4>
      </vt:variant>
      <vt:variant>
        <vt:lpstr>Intervalos com nome</vt:lpstr>
      </vt:variant>
      <vt:variant>
        <vt:i4>2</vt:i4>
      </vt:variant>
    </vt:vector>
  </HeadingPairs>
  <TitlesOfParts>
    <vt:vector size="8" baseType="lpstr">
      <vt:lpstr>Ementas 1º período</vt:lpstr>
      <vt:lpstr>1FT Prato</vt:lpstr>
      <vt:lpstr>2 FTSopas</vt:lpstr>
      <vt:lpstr>3FTAcompanhamento</vt:lpstr>
      <vt:lpstr>4 FTsobremesas</vt:lpstr>
      <vt:lpstr>5 FTsaladas&amp;legumes</vt:lpstr>
      <vt:lpstr>'Ementas 1º período'!Área_de_Impressão</vt:lpstr>
      <vt:lpstr>'Ementas 1º período'!Títulos_de_Impressão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GS-José Reis</dc:creator>
  <cp:lastModifiedBy>Professor</cp:lastModifiedBy>
  <cp:lastPrinted>2017-07-25T09:41:49Z</cp:lastPrinted>
  <dcterms:created xsi:type="dcterms:W3CDTF">2012-10-19T14:09:22Z</dcterms:created>
  <dcterms:modified xsi:type="dcterms:W3CDTF">2017-12-11T11:28:47Z</dcterms:modified>
</cp:coreProperties>
</file>